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p-4-3-11-mdm\AWPB\2020-21\Jharkhand\AWPB_Plan_State\FINAL BUDGET-2020-21_25_april-2020\"/>
    </mc:Choice>
  </mc:AlternateContent>
  <xr:revisionPtr revIDLastSave="0" documentId="13_ncr:1_{5E510745-968F-4D90-9EAB-05CE06504AC3}" xr6:coauthVersionLast="45" xr6:coauthVersionMax="45" xr10:uidLastSave="{00000000-0000-0000-0000-000000000000}"/>
  <bookViews>
    <workbookView xWindow="-120" yWindow="-120" windowWidth="20730" windowHeight="11160" tabRatio="935" firstSheet="61" activeTab="64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165" r:id="rId58"/>
    <sheet name="AT27A_Req_FG_CA_U Pry" sheetId="166" r:id="rId59"/>
    <sheet name="AT27B_Req_FG_CA_N CLP" sheetId="167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168" r:id="rId69"/>
    <sheet name="AT32_Drought Pry Util" sheetId="148" r:id="rId70"/>
    <sheet name="AT-32A Drought UPry Util" sheetId="149" r:id="rId71"/>
    <sheet name="MME-Plan" sheetId="158" r:id="rId72"/>
    <sheet name="B.Pro." sheetId="169" r:id="rId73"/>
    <sheet name="Sheet2 (2)" sheetId="170" r:id="rId74"/>
  </sheets>
  <externalReferences>
    <externalReference r:id="rId75"/>
  </externalReferences>
  <definedNames>
    <definedName name="_xlnm.Print_Area" localSheetId="44">'AT_17_Coverage-RBSK '!$A$1:$L$42</definedName>
    <definedName name="_xlnm.Print_Area" localSheetId="46">AT_19_Impl_Agency!$A$1:$J$45</definedName>
    <definedName name="_xlnm.Print_Area" localSheetId="47">'AT_20_CentralCookingagency '!$A$1:$M$42</definedName>
    <definedName name="_xlnm.Print_Area" localSheetId="62">AT_28_RqmtKitchen!$A$1:$T$43</definedName>
    <definedName name="_xlnm.Print_Area" localSheetId="5">AT_2A_fundflow!$A$1:$V$37</definedName>
    <definedName name="_xlnm.Print_Area" localSheetId="68">'AT_31_Budget_provision '!$A$1:$Y$38</definedName>
    <definedName name="_xlnm.Print_Area" localSheetId="30">'AT-10 B'!$A$1:$I$43</definedName>
    <definedName name="_xlnm.Print_Area" localSheetId="31">'AT-10 C'!$A$1:$J$40</definedName>
    <definedName name="_xlnm.Print_Area" localSheetId="33">'AT-10 E'!$A$1:$H$41</definedName>
    <definedName name="_xlnm.Print_Area" localSheetId="34">'AT-10 F'!$A$1:$H$40</definedName>
    <definedName name="_xlnm.Print_Area" localSheetId="28">AT10_MME!$A$1:$H$32</definedName>
    <definedName name="_xlnm.Print_Area" localSheetId="29">AT10A_!$A$1:$E$45</definedName>
    <definedName name="_xlnm.Print_Area" localSheetId="32">'AT-10D'!$A$1:$H$38</definedName>
    <definedName name="_xlnm.Print_Area" localSheetId="35">'AT11_KS Year wise'!$A$1:$K$37</definedName>
    <definedName name="_xlnm.Print_Area" localSheetId="36">'AT11A_KS-District wise'!$A$1:$K$44</definedName>
    <definedName name="_xlnm.Print_Area" localSheetId="37">'AT12_KD-New'!$A$1:$K$45</definedName>
    <definedName name="_xlnm.Print_Area" localSheetId="38">'AT12A_KD-Replacement'!$A$1:$K$44</definedName>
    <definedName name="_xlnm.Print_Area" localSheetId="40">'AT-14'!$A$1:$N$43</definedName>
    <definedName name="_xlnm.Print_Area" localSheetId="41">'AT-14 A'!$A$1:$H$40</definedName>
    <definedName name="_xlnm.Print_Area" localSheetId="42">'AT-15'!$A$1:$L$43</definedName>
    <definedName name="_xlnm.Print_Area" localSheetId="43">'AT-16'!$A$1:$K$41</definedName>
    <definedName name="_xlnm.Print_Area" localSheetId="45">'AT18_Details_Community '!$A$1:$G$42</definedName>
    <definedName name="_xlnm.Print_Area" localSheetId="3">'AT-1-Gen_Info '!$A$1:$T$55</definedName>
    <definedName name="_xlnm.Print_Area" localSheetId="51">'AT-23A _AMS'!$A$1:$L$48</definedName>
    <definedName name="_xlnm.Print_Area" localSheetId="52">'AT-24'!$A$1:$M$44</definedName>
    <definedName name="_xlnm.Print_Area" localSheetId="53">'AT-25'!$A$1:$G$48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AT27_Req_FG_CA_Pry!$A$1:$T$44</definedName>
    <definedName name="_xlnm.Print_Area" localSheetId="58">'AT27A_Req_FG_CA_U Pry'!$A$1:$T$43</definedName>
    <definedName name="_xlnm.Print_Area" localSheetId="59">'AT27B_Req_FG_CA_N CLP'!$A$1:$P$42</definedName>
    <definedName name="_xlnm.Print_Area" localSheetId="60">'AT27C_Req_FG_Drought -Pry '!$A$1:$P$42</definedName>
    <definedName name="_xlnm.Print_Area" localSheetId="61">'AT27D_Req_FG_Drought -UPry '!$A$1:$P$42</definedName>
    <definedName name="_xlnm.Print_Area" localSheetId="63">'AT-28A_RqmtPlinthArea'!$A$1:$T$42</definedName>
    <definedName name="_xlnm.Print_Area" localSheetId="64">'AT-28B_Kitchen repair'!$A$1:$G$40</definedName>
    <definedName name="_xlnm.Print_Area" localSheetId="66">'AT29_A_Replacement KD'!$A$1:$V$43</definedName>
    <definedName name="_xlnm.Print_Area" localSheetId="65">'AT29_Replacement KD '!$A$1:$V$41</definedName>
    <definedName name="_xlnm.Print_Area" localSheetId="6">'AT-2B_DBT'!$A$1:$L$34</definedName>
    <definedName name="_xlnm.Print_Area" localSheetId="4">'AT-2-S1 BUDGET'!$A$1:$V$37</definedName>
    <definedName name="_xlnm.Print_Area" localSheetId="7">'AT-3'!$A$1:$H$41</definedName>
    <definedName name="_xlnm.Print_Area" localSheetId="67">'AT-30_Coook-cum-Helper'!$A$1:$L$41</definedName>
    <definedName name="_xlnm.Print_Area" localSheetId="69">'AT32_Drought Pry Util'!$A$1:$O$36</definedName>
    <definedName name="_xlnm.Print_Area" localSheetId="70">'AT-32A Drought UPry Util'!$A$1:$L$37</definedName>
    <definedName name="_xlnm.Print_Area" localSheetId="8">'AT3A_cvrg(Insti)_PY'!$A$1:$N$47</definedName>
    <definedName name="_xlnm.Print_Area" localSheetId="9">'AT3B_cvrg(Insti)_UPY '!$A$1:$N$47</definedName>
    <definedName name="_xlnm.Print_Area" localSheetId="10">'AT3C_cvrg(Insti)_UPY '!$A$1:$N$47</definedName>
    <definedName name="_xlnm.Print_Area" localSheetId="25">'AT-8_Hon_CCH_Pry'!$A$1:$V$46</definedName>
    <definedName name="_xlnm.Print_Area" localSheetId="26">'AT-8A_Hon_CCH_UPry'!$A$1:$V$45</definedName>
    <definedName name="_xlnm.Print_Area" localSheetId="27">AT9_TA!$A$1:$I$42</definedName>
    <definedName name="_xlnm.Print_Area" localSheetId="72">'B.Pro.'!$A$1:$L$34</definedName>
    <definedName name="_xlnm.Print_Area" localSheetId="1">Contents!$A$1:$C$69</definedName>
    <definedName name="_xlnm.Print_Area" localSheetId="11">'enrolment vs availed_PY'!$A$1:$Q$45</definedName>
    <definedName name="_xlnm.Print_Area" localSheetId="12">'enrolment vs availed_UPY'!$A$1:$Q$46</definedName>
    <definedName name="_xlnm.Print_Area" localSheetId="39">'Mode of cooking'!$A$1:$H$41</definedName>
    <definedName name="_xlnm.Print_Area" localSheetId="2">Sheet1!$A$1:$J$24</definedName>
    <definedName name="_xlnm.Print_Area" localSheetId="54">'Sheet1 (2)'!$A$1:$J$24</definedName>
    <definedName name="_xlnm.Print_Area" localSheetId="73">'Sheet2 (2)'!$A$1:$E$36</definedName>
    <definedName name="_xlnm.Print_Area" localSheetId="14">T5_PLAN_vs_PRFM!$A$1:$J$43</definedName>
    <definedName name="_xlnm.Print_Area" localSheetId="15">'T5A_PLAN_vs_PRFM '!$A$1:$J$42</definedName>
    <definedName name="_xlnm.Print_Area" localSheetId="16">'T5B_PLAN_vs_PRFM  (2)'!$A$1:$J$42</definedName>
    <definedName name="_xlnm.Print_Area" localSheetId="17">'T5C_Drought_PLAN_vs_PRFM '!$A$1:$J$43</definedName>
    <definedName name="_xlnm.Print_Area" localSheetId="18">'T5D_Drought_PLAN_vs_PRFM  '!$A$1:$J$43</definedName>
    <definedName name="_xlnm.Print_Area" localSheetId="19">T6_FG_py_Utlsn!$A$1:$L$44</definedName>
    <definedName name="_xlnm.Print_Area" localSheetId="20">'T6A_FG_Upy_Utlsn '!$A$1:$L$44</definedName>
    <definedName name="_xlnm.Print_Area" localSheetId="21">T6B_Pay_FG_FCI_Pry!$A$1:$M$47</definedName>
    <definedName name="_xlnm.Print_Area" localSheetId="22">T6C_Coarse_Grain!$A$1:$L$45</definedName>
    <definedName name="_xlnm.Print_Area" localSheetId="23">T7_CC_PY_Utlsn!$A$1:$Q$48</definedName>
    <definedName name="_xlnm.Print_Area" localSheetId="24">'T7ACC_UPY_Utlsn '!$A$1:$Q$44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68" l="1"/>
  <c r="E35" i="142" l="1"/>
  <c r="J28" i="168" l="1"/>
  <c r="J27" i="168"/>
  <c r="J25" i="168"/>
  <c r="J24" i="168"/>
  <c r="J23" i="168"/>
  <c r="J22" i="168"/>
  <c r="J20" i="168"/>
  <c r="J19" i="168"/>
  <c r="J18" i="168"/>
  <c r="J17" i="168"/>
  <c r="J16" i="168"/>
  <c r="J15" i="168"/>
  <c r="F23" i="168"/>
  <c r="F24" i="168"/>
  <c r="F27" i="168"/>
  <c r="F22" i="168"/>
  <c r="F16" i="168"/>
  <c r="F17" i="168"/>
  <c r="F18" i="168"/>
  <c r="F19" i="168"/>
  <c r="F15" i="168"/>
  <c r="Q36" i="74" l="1"/>
  <c r="Q13" i="74"/>
  <c r="Q14" i="74"/>
  <c r="Q15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28" i="74"/>
  <c r="Q29" i="74"/>
  <c r="Q30" i="74"/>
  <c r="Q31" i="74"/>
  <c r="Q32" i="74"/>
  <c r="Q33" i="74"/>
  <c r="Q34" i="74"/>
  <c r="Q35" i="74"/>
  <c r="Q12" i="74"/>
  <c r="P36" i="74"/>
  <c r="P13" i="74"/>
  <c r="P14" i="74"/>
  <c r="P15" i="74"/>
  <c r="P16" i="74"/>
  <c r="P17" i="74"/>
  <c r="P18" i="74"/>
  <c r="P19" i="74"/>
  <c r="P20" i="74"/>
  <c r="P21" i="74"/>
  <c r="P22" i="74"/>
  <c r="P23" i="74"/>
  <c r="P24" i="74"/>
  <c r="P25" i="74"/>
  <c r="P26" i="74"/>
  <c r="P27" i="74"/>
  <c r="P28" i="74"/>
  <c r="P29" i="74"/>
  <c r="P30" i="74"/>
  <c r="P31" i="74"/>
  <c r="P32" i="74"/>
  <c r="P33" i="74"/>
  <c r="P34" i="74"/>
  <c r="P35" i="74"/>
  <c r="P12" i="74"/>
  <c r="E54" i="5" l="1"/>
  <c r="E52" i="5"/>
  <c r="E53" i="5"/>
  <c r="E51" i="5"/>
  <c r="D54" i="5"/>
  <c r="D53" i="5"/>
  <c r="D52" i="5"/>
  <c r="D51" i="5"/>
  <c r="D49" i="5"/>
  <c r="D48" i="5"/>
  <c r="D47" i="5"/>
  <c r="D46" i="5"/>
  <c r="O13" i="74"/>
  <c r="O14" i="74"/>
  <c r="O15" i="74"/>
  <c r="O16" i="74"/>
  <c r="O17" i="74"/>
  <c r="O18" i="74"/>
  <c r="O19" i="74"/>
  <c r="O20" i="74"/>
  <c r="O21" i="74"/>
  <c r="O22" i="74"/>
  <c r="O23" i="74"/>
  <c r="O24" i="74"/>
  <c r="O25" i="74"/>
  <c r="O26" i="74"/>
  <c r="O27" i="74"/>
  <c r="O28" i="74"/>
  <c r="O29" i="74"/>
  <c r="O30" i="74"/>
  <c r="O31" i="74"/>
  <c r="O32" i="74"/>
  <c r="O33" i="74"/>
  <c r="O34" i="74"/>
  <c r="O35" i="74"/>
  <c r="O36" i="74"/>
  <c r="O12" i="74"/>
  <c r="D41" i="7" l="1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C41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C40" i="7"/>
  <c r="H38" i="5"/>
  <c r="D39" i="5"/>
  <c r="E39" i="5"/>
  <c r="F39" i="5"/>
  <c r="G39" i="5"/>
  <c r="C39" i="5"/>
  <c r="D38" i="5"/>
  <c r="E38" i="5"/>
  <c r="F38" i="5"/>
  <c r="G38" i="5"/>
  <c r="C38" i="5"/>
  <c r="Q36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12" i="4"/>
  <c r="I40" i="4"/>
  <c r="H40" i="4"/>
  <c r="H39" i="4"/>
  <c r="H38" i="4"/>
  <c r="F40" i="4"/>
  <c r="F39" i="4"/>
  <c r="F38" i="4"/>
  <c r="J37" i="4"/>
  <c r="D38" i="4"/>
  <c r="G37" i="60"/>
  <c r="G36" i="60"/>
  <c r="K24" i="157" l="1"/>
  <c r="H28" i="99"/>
  <c r="H29" i="99"/>
  <c r="H30" i="99"/>
  <c r="H27" i="99"/>
  <c r="G28" i="99"/>
  <c r="G29" i="99"/>
  <c r="G30" i="99"/>
  <c r="G27" i="99"/>
  <c r="F28" i="99"/>
  <c r="F29" i="99"/>
  <c r="F30" i="99"/>
  <c r="F27" i="99"/>
  <c r="J11" i="165" l="1"/>
  <c r="O34" i="165"/>
  <c r="C14" i="7"/>
  <c r="D14" i="7"/>
  <c r="E14" i="7" s="1"/>
  <c r="H14" i="7"/>
  <c r="K14" i="7"/>
  <c r="C15" i="7"/>
  <c r="D15" i="7"/>
  <c r="H15" i="7"/>
  <c r="K15" i="7"/>
  <c r="C16" i="7"/>
  <c r="D16" i="7"/>
  <c r="H16" i="7"/>
  <c r="K16" i="7"/>
  <c r="C17" i="7"/>
  <c r="D17" i="7"/>
  <c r="H17" i="7"/>
  <c r="K17" i="7"/>
  <c r="C18" i="7"/>
  <c r="D18" i="7"/>
  <c r="H18" i="7"/>
  <c r="K18" i="7"/>
  <c r="C19" i="7"/>
  <c r="D19" i="7"/>
  <c r="H19" i="7"/>
  <c r="K19" i="7"/>
  <c r="C20" i="7"/>
  <c r="D20" i="7"/>
  <c r="H20" i="7"/>
  <c r="K20" i="7"/>
  <c r="C21" i="7"/>
  <c r="D21" i="7"/>
  <c r="H21" i="7"/>
  <c r="K21" i="7"/>
  <c r="C22" i="7"/>
  <c r="D22" i="7"/>
  <c r="H22" i="7"/>
  <c r="K22" i="7"/>
  <c r="C23" i="7"/>
  <c r="D23" i="7"/>
  <c r="H23" i="7"/>
  <c r="K23" i="7"/>
  <c r="C24" i="7"/>
  <c r="D24" i="7"/>
  <c r="H24" i="7"/>
  <c r="K24" i="7"/>
  <c r="C25" i="7"/>
  <c r="D25" i="7"/>
  <c r="H25" i="7"/>
  <c r="K25" i="7"/>
  <c r="C26" i="7"/>
  <c r="D26" i="7"/>
  <c r="H26" i="7"/>
  <c r="K26" i="7"/>
  <c r="C27" i="7"/>
  <c r="D27" i="7"/>
  <c r="H27" i="7"/>
  <c r="K27" i="7"/>
  <c r="C28" i="7"/>
  <c r="D28" i="7"/>
  <c r="H28" i="7"/>
  <c r="K28" i="7"/>
  <c r="C29" i="7"/>
  <c r="D29" i="7"/>
  <c r="H29" i="7"/>
  <c r="K29" i="7"/>
  <c r="C30" i="7"/>
  <c r="D30" i="7"/>
  <c r="H30" i="7"/>
  <c r="K30" i="7"/>
  <c r="C31" i="7"/>
  <c r="D31" i="7"/>
  <c r="H31" i="7"/>
  <c r="K31" i="7"/>
  <c r="C32" i="7"/>
  <c r="D32" i="7"/>
  <c r="H32" i="7"/>
  <c r="K32" i="7"/>
  <c r="C33" i="7"/>
  <c r="D33" i="7"/>
  <c r="H33" i="7"/>
  <c r="K33" i="7"/>
  <c r="C34" i="7"/>
  <c r="D34" i="7"/>
  <c r="H34" i="7"/>
  <c r="K34" i="7"/>
  <c r="C35" i="7"/>
  <c r="D35" i="7"/>
  <c r="H35" i="7"/>
  <c r="K35" i="7"/>
  <c r="C36" i="7"/>
  <c r="D36" i="7"/>
  <c r="H36" i="7"/>
  <c r="K36" i="7"/>
  <c r="C37" i="7"/>
  <c r="D37" i="7"/>
  <c r="H37" i="7"/>
  <c r="K37" i="7"/>
  <c r="F38" i="7"/>
  <c r="G38" i="7"/>
  <c r="I38" i="7"/>
  <c r="J38" i="7"/>
  <c r="G50" i="7"/>
  <c r="I50" i="7"/>
  <c r="G35" i="84"/>
  <c r="J32" i="133"/>
  <c r="I32" i="133"/>
  <c r="H32" i="133"/>
  <c r="G32" i="133"/>
  <c r="F32" i="133"/>
  <c r="E32" i="133"/>
  <c r="D32" i="133"/>
  <c r="C32" i="133"/>
  <c r="H36" i="112"/>
  <c r="D36" i="112"/>
  <c r="J35" i="112"/>
  <c r="G35" i="112"/>
  <c r="F35" i="112"/>
  <c r="C35" i="112"/>
  <c r="J34" i="112"/>
  <c r="G34" i="112"/>
  <c r="F34" i="112"/>
  <c r="C34" i="112"/>
  <c r="J33" i="112"/>
  <c r="G33" i="112"/>
  <c r="F33" i="112"/>
  <c r="C33" i="112"/>
  <c r="J32" i="112"/>
  <c r="G32" i="112"/>
  <c r="F32" i="112"/>
  <c r="C32" i="112"/>
  <c r="J31" i="112"/>
  <c r="G31" i="112"/>
  <c r="F31" i="112"/>
  <c r="C31" i="112"/>
  <c r="J30" i="112"/>
  <c r="G30" i="112"/>
  <c r="F30" i="112"/>
  <c r="C30" i="112"/>
  <c r="J29" i="112"/>
  <c r="G29" i="112"/>
  <c r="F29" i="112"/>
  <c r="C29" i="112"/>
  <c r="J28" i="112"/>
  <c r="G28" i="112"/>
  <c r="F28" i="112"/>
  <c r="C28" i="112"/>
  <c r="J27" i="112"/>
  <c r="G27" i="112"/>
  <c r="F27" i="112"/>
  <c r="C27" i="112"/>
  <c r="J26" i="112"/>
  <c r="G26" i="112"/>
  <c r="F26" i="112"/>
  <c r="C26" i="112"/>
  <c r="J25" i="112"/>
  <c r="G25" i="112"/>
  <c r="F25" i="112"/>
  <c r="C25" i="112"/>
  <c r="J24" i="112"/>
  <c r="G24" i="112"/>
  <c r="F24" i="112"/>
  <c r="C24" i="112"/>
  <c r="J23" i="112"/>
  <c r="F23" i="112"/>
  <c r="J22" i="112"/>
  <c r="G22" i="112"/>
  <c r="F22" i="112"/>
  <c r="C22" i="112"/>
  <c r="J21" i="112"/>
  <c r="G21" i="112"/>
  <c r="F21" i="112"/>
  <c r="C21" i="112"/>
  <c r="J20" i="112"/>
  <c r="G20" i="112"/>
  <c r="F20" i="112"/>
  <c r="C20" i="112"/>
  <c r="J19" i="112"/>
  <c r="F19" i="112"/>
  <c r="J18" i="112"/>
  <c r="F18" i="112"/>
  <c r="J17" i="112"/>
  <c r="F17" i="112"/>
  <c r="J16" i="112"/>
  <c r="F16" i="112"/>
  <c r="J15" i="112"/>
  <c r="F15" i="112"/>
  <c r="J14" i="112"/>
  <c r="G14" i="112"/>
  <c r="F14" i="112"/>
  <c r="C14" i="112"/>
  <c r="J13" i="112"/>
  <c r="G13" i="112"/>
  <c r="F13" i="112"/>
  <c r="C13" i="112"/>
  <c r="J12" i="112"/>
  <c r="J36" i="112" s="1"/>
  <c r="G12" i="112"/>
  <c r="G36" i="112" s="1"/>
  <c r="F12" i="112"/>
  <c r="C12" i="112"/>
  <c r="H36" i="113"/>
  <c r="D36" i="113"/>
  <c r="C36" i="113"/>
  <c r="J35" i="113"/>
  <c r="G35" i="113"/>
  <c r="F35" i="113"/>
  <c r="J34" i="113"/>
  <c r="G34" i="113"/>
  <c r="F34" i="113"/>
  <c r="J33" i="113"/>
  <c r="G33" i="113"/>
  <c r="F33" i="113"/>
  <c r="J32" i="113"/>
  <c r="G32" i="113"/>
  <c r="F32" i="113"/>
  <c r="J31" i="113"/>
  <c r="G31" i="113"/>
  <c r="F31" i="113"/>
  <c r="J30" i="113"/>
  <c r="G30" i="113"/>
  <c r="F30" i="113"/>
  <c r="J29" i="113"/>
  <c r="G29" i="113"/>
  <c r="F29" i="113"/>
  <c r="J28" i="113"/>
  <c r="G28" i="113"/>
  <c r="F28" i="113"/>
  <c r="J27" i="113"/>
  <c r="G27" i="113"/>
  <c r="F27" i="113"/>
  <c r="J26" i="113"/>
  <c r="G26" i="113"/>
  <c r="F26" i="113"/>
  <c r="J25" i="113"/>
  <c r="G25" i="113"/>
  <c r="F25" i="113"/>
  <c r="J24" i="113"/>
  <c r="G24" i="113"/>
  <c r="F24" i="113"/>
  <c r="J23" i="113"/>
  <c r="F23" i="113"/>
  <c r="J22" i="113"/>
  <c r="G22" i="113"/>
  <c r="F22" i="113"/>
  <c r="J21" i="113"/>
  <c r="G21" i="113"/>
  <c r="F21" i="113"/>
  <c r="J20" i="113"/>
  <c r="G20" i="113"/>
  <c r="F20" i="113"/>
  <c r="J19" i="113"/>
  <c r="F19" i="113"/>
  <c r="J18" i="113"/>
  <c r="F18" i="113"/>
  <c r="J17" i="113"/>
  <c r="F17" i="113"/>
  <c r="J16" i="113"/>
  <c r="F16" i="113"/>
  <c r="J15" i="113"/>
  <c r="F15" i="113"/>
  <c r="J14" i="113"/>
  <c r="G14" i="113"/>
  <c r="F14" i="113"/>
  <c r="J13" i="113"/>
  <c r="G13" i="113"/>
  <c r="F13" i="113"/>
  <c r="J12" i="113"/>
  <c r="G12" i="113"/>
  <c r="F12" i="113"/>
  <c r="E29" i="7" l="1"/>
  <c r="E28" i="7"/>
  <c r="E27" i="7"/>
  <c r="E25" i="7"/>
  <c r="E24" i="7"/>
  <c r="E23" i="7"/>
  <c r="E21" i="7"/>
  <c r="E17" i="7"/>
  <c r="E34" i="7"/>
  <c r="E30" i="7"/>
  <c r="E16" i="7"/>
  <c r="E19" i="7"/>
  <c r="E20" i="7"/>
  <c r="E37" i="7"/>
  <c r="E36" i="7"/>
  <c r="E35" i="7"/>
  <c r="E33" i="7"/>
  <c r="E32" i="7"/>
  <c r="E31" i="7"/>
  <c r="E26" i="7"/>
  <c r="E22" i="7"/>
  <c r="E18" i="7"/>
  <c r="E15" i="7"/>
  <c r="F36" i="113"/>
  <c r="D38" i="7"/>
  <c r="K38" i="7"/>
  <c r="F50" i="7"/>
  <c r="H38" i="7"/>
  <c r="H50" i="7" s="1"/>
  <c r="G36" i="113"/>
  <c r="C36" i="112"/>
  <c r="J36" i="113"/>
  <c r="F36" i="112"/>
  <c r="J50" i="7"/>
  <c r="K50" i="7"/>
  <c r="D50" i="7"/>
  <c r="C38" i="7"/>
  <c r="L30" i="149"/>
  <c r="K30" i="149"/>
  <c r="H30" i="149"/>
  <c r="G30" i="149"/>
  <c r="F30" i="149"/>
  <c r="E30" i="149"/>
  <c r="D30" i="149"/>
  <c r="C30" i="149"/>
  <c r="J29" i="149"/>
  <c r="I29" i="149"/>
  <c r="I28" i="149"/>
  <c r="J28" i="149" s="1"/>
  <c r="I27" i="149"/>
  <c r="J27" i="149" s="1"/>
  <c r="I26" i="149"/>
  <c r="J26" i="149" s="1"/>
  <c r="I25" i="149"/>
  <c r="J25" i="149" s="1"/>
  <c r="I24" i="149"/>
  <c r="J24" i="149" s="1"/>
  <c r="I23" i="149"/>
  <c r="J23" i="149" s="1"/>
  <c r="I22" i="149"/>
  <c r="J22" i="149" s="1"/>
  <c r="J21" i="149"/>
  <c r="I21" i="149"/>
  <c r="I20" i="149"/>
  <c r="J20" i="149" s="1"/>
  <c r="I19" i="149"/>
  <c r="J19" i="149" s="1"/>
  <c r="I18" i="149"/>
  <c r="J18" i="149" s="1"/>
  <c r="I17" i="149"/>
  <c r="J17" i="149" s="1"/>
  <c r="I16" i="149"/>
  <c r="J16" i="149" s="1"/>
  <c r="I15" i="149"/>
  <c r="J15" i="149" s="1"/>
  <c r="I14" i="149"/>
  <c r="J14" i="149" s="1"/>
  <c r="J13" i="149"/>
  <c r="I13" i="149"/>
  <c r="I12" i="149"/>
  <c r="L30" i="148"/>
  <c r="K30" i="148"/>
  <c r="H30" i="148"/>
  <c r="G30" i="148"/>
  <c r="F30" i="148"/>
  <c r="E30" i="148"/>
  <c r="D30" i="148"/>
  <c r="C30" i="148"/>
  <c r="J29" i="148"/>
  <c r="I29" i="148" s="1"/>
  <c r="J28" i="148"/>
  <c r="I28" i="148" s="1"/>
  <c r="J27" i="148"/>
  <c r="I27" i="148" s="1"/>
  <c r="J26" i="148"/>
  <c r="I26" i="148" s="1"/>
  <c r="J25" i="148"/>
  <c r="I25" i="148" s="1"/>
  <c r="J24" i="148"/>
  <c r="I24" i="148"/>
  <c r="J23" i="148"/>
  <c r="I23" i="148" s="1"/>
  <c r="J22" i="148"/>
  <c r="I22" i="148"/>
  <c r="J21" i="148"/>
  <c r="I21" i="148" s="1"/>
  <c r="J20" i="148"/>
  <c r="I20" i="148" s="1"/>
  <c r="J19" i="148"/>
  <c r="I19" i="148" s="1"/>
  <c r="J18" i="148"/>
  <c r="I18" i="148" s="1"/>
  <c r="J17" i="148"/>
  <c r="I17" i="148" s="1"/>
  <c r="J16" i="148"/>
  <c r="I16" i="148"/>
  <c r="J15" i="148"/>
  <c r="I15" i="148" s="1"/>
  <c r="J14" i="148"/>
  <c r="I14" i="148"/>
  <c r="J13" i="148"/>
  <c r="I13" i="148" s="1"/>
  <c r="J12" i="148"/>
  <c r="I12" i="148" s="1"/>
  <c r="E38" i="7" l="1"/>
  <c r="E50" i="7" s="1"/>
  <c r="I30" i="149"/>
  <c r="C50" i="7"/>
  <c r="J12" i="149"/>
  <c r="J30" i="149" s="1"/>
  <c r="I30" i="148"/>
  <c r="J30" i="148"/>
  <c r="H38" i="88" l="1"/>
  <c r="W27" i="168"/>
  <c r="X27" i="168"/>
  <c r="Y27" i="168"/>
  <c r="I15" i="86" l="1"/>
  <c r="I16" i="86"/>
  <c r="I17" i="86"/>
  <c r="I18" i="86"/>
  <c r="I19" i="86"/>
  <c r="I20" i="86"/>
  <c r="I21" i="86"/>
  <c r="I22" i="86"/>
  <c r="I23" i="86"/>
  <c r="I24" i="86"/>
  <c r="I25" i="86"/>
  <c r="I26" i="86"/>
  <c r="I27" i="86"/>
  <c r="I28" i="86"/>
  <c r="I29" i="86"/>
  <c r="I30" i="86"/>
  <c r="I31" i="86"/>
  <c r="I32" i="86"/>
  <c r="I33" i="86"/>
  <c r="I34" i="86"/>
  <c r="I35" i="86"/>
  <c r="I36" i="86"/>
  <c r="I37" i="86"/>
  <c r="I14" i="86"/>
  <c r="F36" i="5"/>
  <c r="H36" i="5"/>
  <c r="I36" i="5"/>
  <c r="J36" i="5"/>
  <c r="K36" i="5"/>
  <c r="L36" i="5"/>
  <c r="K36" i="74"/>
  <c r="E36" i="5" l="1"/>
  <c r="X14" i="114" l="1"/>
  <c r="X15" i="114"/>
  <c r="X16" i="114"/>
  <c r="X17" i="114"/>
  <c r="X18" i="114"/>
  <c r="X19" i="114"/>
  <c r="X20" i="114"/>
  <c r="X21" i="114"/>
  <c r="X22" i="114"/>
  <c r="X23" i="114"/>
  <c r="X24" i="114"/>
  <c r="X25" i="114"/>
  <c r="X26" i="114"/>
  <c r="X27" i="114"/>
  <c r="X28" i="114"/>
  <c r="X29" i="114"/>
  <c r="X30" i="114"/>
  <c r="X31" i="114"/>
  <c r="X32" i="114"/>
  <c r="X33" i="114"/>
  <c r="X34" i="114"/>
  <c r="X35" i="114"/>
  <c r="X36" i="114"/>
  <c r="X13" i="114"/>
  <c r="D36" i="170"/>
  <c r="E13" i="170"/>
  <c r="D13" i="170"/>
  <c r="C13" i="170"/>
  <c r="E8" i="170"/>
  <c r="D8" i="170"/>
  <c r="C8" i="170"/>
  <c r="D27" i="169"/>
  <c r="C14" i="169"/>
  <c r="G13" i="169"/>
  <c r="G12" i="169"/>
  <c r="J11" i="169"/>
  <c r="G11" i="169"/>
  <c r="C7" i="169"/>
  <c r="G6" i="169"/>
  <c r="F6" i="169"/>
  <c r="H6" i="169" s="1"/>
  <c r="D21" i="169" s="1"/>
  <c r="G5" i="169"/>
  <c r="F5" i="169"/>
  <c r="H5" i="169" s="1"/>
  <c r="D20" i="169" s="1"/>
  <c r="J4" i="169"/>
  <c r="G4" i="169"/>
  <c r="F4" i="169"/>
  <c r="I4" i="169" s="1"/>
  <c r="O55" i="168"/>
  <c r="N55" i="168"/>
  <c r="M55" i="168"/>
  <c r="O54" i="168"/>
  <c r="N54" i="168"/>
  <c r="M54" i="168"/>
  <c r="O52" i="168"/>
  <c r="N52" i="168"/>
  <c r="M52" i="168"/>
  <c r="O50" i="168"/>
  <c r="N50" i="168"/>
  <c r="M50" i="168"/>
  <c r="O49" i="168"/>
  <c r="N49" i="168"/>
  <c r="M49" i="168"/>
  <c r="O47" i="168"/>
  <c r="N47" i="168"/>
  <c r="M47" i="168"/>
  <c r="O45" i="168"/>
  <c r="N45" i="168"/>
  <c r="M45" i="168"/>
  <c r="O44" i="168"/>
  <c r="N44" i="168"/>
  <c r="M44" i="168"/>
  <c r="O42" i="168"/>
  <c r="N42" i="168"/>
  <c r="M42" i="168"/>
  <c r="O41" i="168"/>
  <c r="N41" i="168"/>
  <c r="M41" i="168"/>
  <c r="I25" i="168"/>
  <c r="H25" i="168"/>
  <c r="G25" i="168"/>
  <c r="E25" i="168"/>
  <c r="D25" i="168"/>
  <c r="C25" i="168"/>
  <c r="M24" i="168"/>
  <c r="Y24" i="168" s="1"/>
  <c r="L24" i="168"/>
  <c r="X24" i="168" s="1"/>
  <c r="K24" i="168"/>
  <c r="W24" i="168" s="1"/>
  <c r="M23" i="168"/>
  <c r="Y23" i="168" s="1"/>
  <c r="L23" i="168"/>
  <c r="X23" i="168" s="1"/>
  <c r="K23" i="168"/>
  <c r="W23" i="168" s="1"/>
  <c r="M22" i="168"/>
  <c r="Y22" i="168" s="1"/>
  <c r="L22" i="168"/>
  <c r="X22" i="168" s="1"/>
  <c r="K22" i="168"/>
  <c r="W22" i="168" s="1"/>
  <c r="Y21" i="168"/>
  <c r="X21" i="168"/>
  <c r="W21" i="168"/>
  <c r="I20" i="168"/>
  <c r="H20" i="168"/>
  <c r="G20" i="168"/>
  <c r="E20" i="168"/>
  <c r="D20" i="168"/>
  <c r="C20" i="168"/>
  <c r="F20" i="168" s="1"/>
  <c r="M19" i="168"/>
  <c r="Y19" i="168" s="1"/>
  <c r="L19" i="168"/>
  <c r="X19" i="168" s="1"/>
  <c r="K19" i="168"/>
  <c r="W19" i="168" s="1"/>
  <c r="M18" i="168"/>
  <c r="Y18" i="168" s="1"/>
  <c r="L18" i="168"/>
  <c r="X18" i="168" s="1"/>
  <c r="K18" i="168"/>
  <c r="W18" i="168" s="1"/>
  <c r="M17" i="168"/>
  <c r="Y17" i="168" s="1"/>
  <c r="L17" i="168"/>
  <c r="X17" i="168" s="1"/>
  <c r="K17" i="168"/>
  <c r="W17" i="168" s="1"/>
  <c r="M16" i="168"/>
  <c r="Y16" i="168" s="1"/>
  <c r="L16" i="168"/>
  <c r="X16" i="168" s="1"/>
  <c r="K16" i="168"/>
  <c r="W16" i="168" s="1"/>
  <c r="M15" i="168"/>
  <c r="Y15" i="168" s="1"/>
  <c r="L15" i="168"/>
  <c r="K15" i="168"/>
  <c r="C35" i="167"/>
  <c r="K34" i="167"/>
  <c r="J34" i="167"/>
  <c r="F34" i="167"/>
  <c r="P34" i="167" s="1"/>
  <c r="K33" i="167"/>
  <c r="J33" i="167"/>
  <c r="F33" i="167"/>
  <c r="P33" i="167" s="1"/>
  <c r="K32" i="167"/>
  <c r="J32" i="167"/>
  <c r="F32" i="167"/>
  <c r="P32" i="167" s="1"/>
  <c r="K31" i="167"/>
  <c r="J31" i="167"/>
  <c r="F31" i="167"/>
  <c r="P31" i="167" s="1"/>
  <c r="K30" i="167"/>
  <c r="J30" i="167"/>
  <c r="F30" i="167"/>
  <c r="P30" i="167" s="1"/>
  <c r="K29" i="167"/>
  <c r="J29" i="167"/>
  <c r="F29" i="167"/>
  <c r="P29" i="167" s="1"/>
  <c r="K28" i="167"/>
  <c r="J28" i="167"/>
  <c r="I28" i="167" s="1"/>
  <c r="F28" i="167"/>
  <c r="P28" i="167" s="1"/>
  <c r="K27" i="167"/>
  <c r="J27" i="167"/>
  <c r="F27" i="167"/>
  <c r="P27" i="167" s="1"/>
  <c r="K26" i="167"/>
  <c r="J26" i="167"/>
  <c r="F26" i="167"/>
  <c r="P26" i="167" s="1"/>
  <c r="K25" i="167"/>
  <c r="J25" i="167"/>
  <c r="F25" i="167"/>
  <c r="P25" i="167" s="1"/>
  <c r="K24" i="167"/>
  <c r="J24" i="167"/>
  <c r="F24" i="167"/>
  <c r="P24" i="167" s="1"/>
  <c r="K23" i="167"/>
  <c r="J23" i="167"/>
  <c r="F23" i="167"/>
  <c r="P23" i="167" s="1"/>
  <c r="K22" i="167"/>
  <c r="J22" i="167"/>
  <c r="F22" i="167"/>
  <c r="P22" i="167" s="1"/>
  <c r="K21" i="167"/>
  <c r="J21" i="167"/>
  <c r="F21" i="167"/>
  <c r="P21" i="167" s="1"/>
  <c r="K20" i="167"/>
  <c r="J20" i="167"/>
  <c r="F20" i="167"/>
  <c r="P20" i="167" s="1"/>
  <c r="K19" i="167"/>
  <c r="J19" i="167"/>
  <c r="F19" i="167"/>
  <c r="P19" i="167" s="1"/>
  <c r="K18" i="167"/>
  <c r="J18" i="167"/>
  <c r="F18" i="167"/>
  <c r="P18" i="167" s="1"/>
  <c r="K17" i="167"/>
  <c r="J17" i="167"/>
  <c r="F17" i="167"/>
  <c r="P17" i="167" s="1"/>
  <c r="K16" i="167"/>
  <c r="J16" i="167"/>
  <c r="F16" i="167"/>
  <c r="P16" i="167" s="1"/>
  <c r="K15" i="167"/>
  <c r="J15" i="167"/>
  <c r="F15" i="167"/>
  <c r="P15" i="167" s="1"/>
  <c r="K14" i="167"/>
  <c r="J14" i="167"/>
  <c r="F14" i="167"/>
  <c r="P14" i="167" s="1"/>
  <c r="K13" i="167"/>
  <c r="J13" i="167"/>
  <c r="F13" i="167"/>
  <c r="P13" i="167" s="1"/>
  <c r="K12" i="167"/>
  <c r="J12" i="167"/>
  <c r="F12" i="167"/>
  <c r="P12" i="167" s="1"/>
  <c r="K11" i="167"/>
  <c r="J11" i="167"/>
  <c r="F11" i="167"/>
  <c r="P11" i="167" s="1"/>
  <c r="F35" i="166"/>
  <c r="E35" i="166"/>
  <c r="D35" i="166"/>
  <c r="C35" i="166"/>
  <c r="G34" i="166"/>
  <c r="N34" i="166" s="1"/>
  <c r="G33" i="166"/>
  <c r="N33" i="166" s="1"/>
  <c r="G32" i="166"/>
  <c r="N32" i="166" s="1"/>
  <c r="G31" i="166"/>
  <c r="J31" i="166" s="1"/>
  <c r="I31" i="166" s="1"/>
  <c r="T31" i="166" s="1"/>
  <c r="G30" i="166"/>
  <c r="N30" i="166" s="1"/>
  <c r="G29" i="166"/>
  <c r="N29" i="166" s="1"/>
  <c r="G28" i="166"/>
  <c r="N28" i="166" s="1"/>
  <c r="G27" i="166"/>
  <c r="J27" i="166" s="1"/>
  <c r="I27" i="166" s="1"/>
  <c r="T27" i="166" s="1"/>
  <c r="G26" i="166"/>
  <c r="N26" i="166" s="1"/>
  <c r="G25" i="166"/>
  <c r="N25" i="166" s="1"/>
  <c r="G24" i="166"/>
  <c r="N24" i="166" s="1"/>
  <c r="G23" i="166"/>
  <c r="J23" i="166" s="1"/>
  <c r="I23" i="166" s="1"/>
  <c r="T23" i="166" s="1"/>
  <c r="J22" i="166"/>
  <c r="I22" i="166" s="1"/>
  <c r="T22" i="166" s="1"/>
  <c r="G22" i="166"/>
  <c r="N22" i="166" s="1"/>
  <c r="G21" i="166"/>
  <c r="N21" i="166" s="1"/>
  <c r="G20" i="166"/>
  <c r="N20" i="166" s="1"/>
  <c r="G19" i="166"/>
  <c r="J19" i="166" s="1"/>
  <c r="I19" i="166" s="1"/>
  <c r="T19" i="166" s="1"/>
  <c r="G18" i="166"/>
  <c r="N18" i="166" s="1"/>
  <c r="G17" i="166"/>
  <c r="N17" i="166" s="1"/>
  <c r="G16" i="166"/>
  <c r="N16" i="166" s="1"/>
  <c r="G15" i="166"/>
  <c r="J15" i="166" s="1"/>
  <c r="I15" i="166" s="1"/>
  <c r="T15" i="166" s="1"/>
  <c r="G14" i="166"/>
  <c r="N14" i="166" s="1"/>
  <c r="G13" i="166"/>
  <c r="N13" i="166" s="1"/>
  <c r="G12" i="166"/>
  <c r="N12" i="166" s="1"/>
  <c r="G11" i="166"/>
  <c r="J11" i="166" s="1"/>
  <c r="F35" i="165"/>
  <c r="E35" i="165"/>
  <c r="D35" i="165"/>
  <c r="G34" i="165"/>
  <c r="N34" i="165" s="1"/>
  <c r="G33" i="165"/>
  <c r="N33" i="165" s="1"/>
  <c r="G32" i="165"/>
  <c r="J32" i="165" s="1"/>
  <c r="G31" i="165"/>
  <c r="N31" i="165" s="1"/>
  <c r="G30" i="165"/>
  <c r="N30" i="165" s="1"/>
  <c r="G29" i="165"/>
  <c r="N29" i="165" s="1"/>
  <c r="G28" i="165"/>
  <c r="J28" i="165" s="1"/>
  <c r="G27" i="165"/>
  <c r="N27" i="165" s="1"/>
  <c r="G26" i="165"/>
  <c r="N26" i="165" s="1"/>
  <c r="G25" i="165"/>
  <c r="N25" i="165" s="1"/>
  <c r="G24" i="165"/>
  <c r="J24" i="165" s="1"/>
  <c r="G23" i="165"/>
  <c r="N23" i="165" s="1"/>
  <c r="G22" i="165"/>
  <c r="N22" i="165" s="1"/>
  <c r="G21" i="165"/>
  <c r="N21" i="165" s="1"/>
  <c r="G20" i="165"/>
  <c r="J20" i="165" s="1"/>
  <c r="C35" i="165"/>
  <c r="G18" i="165"/>
  <c r="N18" i="165" s="1"/>
  <c r="G17" i="165"/>
  <c r="N17" i="165" s="1"/>
  <c r="G16" i="165"/>
  <c r="N16" i="165" s="1"/>
  <c r="G15" i="165"/>
  <c r="J15" i="165" s="1"/>
  <c r="G14" i="165"/>
  <c r="N14" i="165" s="1"/>
  <c r="G13" i="165"/>
  <c r="N13" i="165" s="1"/>
  <c r="G12" i="165"/>
  <c r="N12" i="165" s="1"/>
  <c r="G11" i="165"/>
  <c r="F25" i="168" l="1"/>
  <c r="J14" i="165"/>
  <c r="I14" i="165" s="1"/>
  <c r="J14" i="166"/>
  <c r="I14" i="166" s="1"/>
  <c r="T14" i="166" s="1"/>
  <c r="J21" i="166"/>
  <c r="I21" i="166" s="1"/>
  <c r="T21" i="166" s="1"/>
  <c r="O22" i="166"/>
  <c r="J25" i="166"/>
  <c r="I25" i="166" s="1"/>
  <c r="T25" i="166" s="1"/>
  <c r="K20" i="168"/>
  <c r="W20" i="168" s="1"/>
  <c r="L20" i="168"/>
  <c r="O21" i="166"/>
  <c r="M21" i="166" s="1"/>
  <c r="O13" i="165"/>
  <c r="I12" i="167"/>
  <c r="I20" i="167"/>
  <c r="I24" i="167"/>
  <c r="I34" i="167"/>
  <c r="G28" i="168"/>
  <c r="P35" i="167"/>
  <c r="I22" i="167"/>
  <c r="I26" i="167"/>
  <c r="C28" i="168"/>
  <c r="H28" i="168"/>
  <c r="O13" i="166"/>
  <c r="M13" i="166" s="1"/>
  <c r="J30" i="166"/>
  <c r="I30" i="166" s="1"/>
  <c r="T30" i="166" s="1"/>
  <c r="I14" i="167"/>
  <c r="I18" i="167"/>
  <c r="I32" i="167"/>
  <c r="X15" i="168"/>
  <c r="C19" i="169"/>
  <c r="I16" i="167"/>
  <c r="I30" i="167"/>
  <c r="O26" i="165"/>
  <c r="C21" i="169"/>
  <c r="J26" i="165"/>
  <c r="O27" i="165"/>
  <c r="M27" i="165" s="1"/>
  <c r="K35" i="167"/>
  <c r="E28" i="168"/>
  <c r="J27" i="165"/>
  <c r="I27" i="165" s="1"/>
  <c r="O26" i="166"/>
  <c r="M26" i="166" s="1"/>
  <c r="O29" i="166"/>
  <c r="M29" i="166" s="1"/>
  <c r="D28" i="168"/>
  <c r="I28" i="168"/>
  <c r="C20" i="169"/>
  <c r="C22" i="169" s="1"/>
  <c r="G14" i="169"/>
  <c r="O18" i="165"/>
  <c r="O31" i="165"/>
  <c r="M31" i="165" s="1"/>
  <c r="J34" i="165"/>
  <c r="I34" i="165" s="1"/>
  <c r="J13" i="165"/>
  <c r="O14" i="165"/>
  <c r="M14" i="165" s="1"/>
  <c r="J17" i="165"/>
  <c r="T17" i="165" s="1"/>
  <c r="J30" i="165"/>
  <c r="T30" i="165" s="1"/>
  <c r="M18" i="165"/>
  <c r="O23" i="165"/>
  <c r="M23" i="165" s="1"/>
  <c r="J17" i="166"/>
  <c r="I17" i="166" s="1"/>
  <c r="T17" i="166" s="1"/>
  <c r="O18" i="166"/>
  <c r="M18" i="166" s="1"/>
  <c r="M13" i="165"/>
  <c r="O17" i="165"/>
  <c r="M17" i="165" s="1"/>
  <c r="G35" i="165"/>
  <c r="J23" i="165"/>
  <c r="I23" i="165" s="1"/>
  <c r="M26" i="165"/>
  <c r="O30" i="165"/>
  <c r="M30" i="165" s="1"/>
  <c r="M34" i="165"/>
  <c r="J13" i="166"/>
  <c r="I13" i="166" s="1"/>
  <c r="T13" i="166" s="1"/>
  <c r="O14" i="166"/>
  <c r="M14" i="166" s="1"/>
  <c r="J18" i="166"/>
  <c r="I18" i="166" s="1"/>
  <c r="T18" i="166" s="1"/>
  <c r="M22" i="166"/>
  <c r="O25" i="166"/>
  <c r="J29" i="166"/>
  <c r="I29" i="166" s="1"/>
  <c r="T29" i="166" s="1"/>
  <c r="O30" i="166"/>
  <c r="J34" i="166"/>
  <c r="I34" i="166" s="1"/>
  <c r="T34" i="166" s="1"/>
  <c r="I11" i="167"/>
  <c r="J35" i="167"/>
  <c r="I13" i="167"/>
  <c r="I15" i="167"/>
  <c r="I17" i="167"/>
  <c r="I19" i="167"/>
  <c r="I21" i="167"/>
  <c r="I23" i="167"/>
  <c r="I25" i="167"/>
  <c r="I27" i="167"/>
  <c r="I29" i="167"/>
  <c r="I31" i="167"/>
  <c r="I33" i="167"/>
  <c r="K25" i="168"/>
  <c r="W25" i="168" s="1"/>
  <c r="H4" i="169"/>
  <c r="D19" i="169" s="1"/>
  <c r="I5" i="169"/>
  <c r="E20" i="169" s="1"/>
  <c r="I6" i="169"/>
  <c r="E21" i="169" s="1"/>
  <c r="J18" i="165"/>
  <c r="I18" i="165" s="1"/>
  <c r="O22" i="165"/>
  <c r="M22" i="165" s="1"/>
  <c r="J31" i="165"/>
  <c r="I31" i="165" s="1"/>
  <c r="O17" i="166"/>
  <c r="M17" i="166" s="1"/>
  <c r="J26" i="166"/>
  <c r="I26" i="166" s="1"/>
  <c r="T26" i="166" s="1"/>
  <c r="M30" i="166"/>
  <c r="O33" i="166"/>
  <c r="M33" i="166" s="1"/>
  <c r="E11" i="167"/>
  <c r="E13" i="167"/>
  <c r="E15" i="167"/>
  <c r="E17" i="167"/>
  <c r="E19" i="167"/>
  <c r="E21" i="167"/>
  <c r="E23" i="167"/>
  <c r="E25" i="167"/>
  <c r="E27" i="167"/>
  <c r="E29" i="167"/>
  <c r="E31" i="167"/>
  <c r="E33" i="167"/>
  <c r="M25" i="168"/>
  <c r="Y25" i="168" s="1"/>
  <c r="F19" i="169"/>
  <c r="F22" i="169" s="1"/>
  <c r="J22" i="165"/>
  <c r="M25" i="166"/>
  <c r="J33" i="166"/>
  <c r="I33" i="166" s="1"/>
  <c r="T33" i="166" s="1"/>
  <c r="O34" i="166"/>
  <c r="M34" i="166" s="1"/>
  <c r="D22" i="169"/>
  <c r="E19" i="169"/>
  <c r="G7" i="169"/>
  <c r="J14" i="169"/>
  <c r="F7" i="169"/>
  <c r="X20" i="168"/>
  <c r="W15" i="168"/>
  <c r="M20" i="168"/>
  <c r="L25" i="168"/>
  <c r="X25" i="168" s="1"/>
  <c r="T11" i="165"/>
  <c r="I11" i="165"/>
  <c r="T24" i="165"/>
  <c r="I24" i="165"/>
  <c r="T20" i="165"/>
  <c r="I20" i="165"/>
  <c r="T32" i="165"/>
  <c r="I32" i="165"/>
  <c r="I11" i="166"/>
  <c r="T15" i="165"/>
  <c r="I15" i="165"/>
  <c r="T28" i="165"/>
  <c r="I28" i="165"/>
  <c r="O11" i="165"/>
  <c r="J12" i="165"/>
  <c r="O15" i="165"/>
  <c r="J16" i="165"/>
  <c r="G19" i="165"/>
  <c r="O20" i="165"/>
  <c r="J21" i="165"/>
  <c r="O24" i="165"/>
  <c r="J25" i="165"/>
  <c r="O28" i="165"/>
  <c r="J29" i="165"/>
  <c r="O32" i="165"/>
  <c r="J33" i="165"/>
  <c r="O11" i="166"/>
  <c r="J12" i="166"/>
  <c r="I12" i="166" s="1"/>
  <c r="T12" i="166" s="1"/>
  <c r="O15" i="166"/>
  <c r="J16" i="166"/>
  <c r="I16" i="166" s="1"/>
  <c r="T16" i="166" s="1"/>
  <c r="O19" i="166"/>
  <c r="J20" i="166"/>
  <c r="I20" i="166" s="1"/>
  <c r="T20" i="166" s="1"/>
  <c r="O23" i="166"/>
  <c r="J24" i="166"/>
  <c r="I24" i="166" s="1"/>
  <c r="T24" i="166" s="1"/>
  <c r="O27" i="166"/>
  <c r="J28" i="166"/>
  <c r="I28" i="166" s="1"/>
  <c r="T28" i="166" s="1"/>
  <c r="O31" i="166"/>
  <c r="J32" i="166"/>
  <c r="I32" i="166" s="1"/>
  <c r="T32" i="166" s="1"/>
  <c r="E12" i="167"/>
  <c r="E14" i="167"/>
  <c r="E16" i="167"/>
  <c r="E18" i="167"/>
  <c r="E20" i="167"/>
  <c r="E22" i="167"/>
  <c r="E24" i="167"/>
  <c r="E26" i="167"/>
  <c r="E28" i="167"/>
  <c r="E30" i="167"/>
  <c r="E32" i="167"/>
  <c r="E34" i="167"/>
  <c r="F35" i="167"/>
  <c r="N11" i="165"/>
  <c r="O12" i="165"/>
  <c r="M12" i="165" s="1"/>
  <c r="N15" i="165"/>
  <c r="O16" i="165"/>
  <c r="M16" i="165" s="1"/>
  <c r="N20" i="165"/>
  <c r="O21" i="165"/>
  <c r="M21" i="165" s="1"/>
  <c r="N24" i="165"/>
  <c r="O25" i="165"/>
  <c r="M25" i="165" s="1"/>
  <c r="N28" i="165"/>
  <c r="O29" i="165"/>
  <c r="M29" i="165" s="1"/>
  <c r="N32" i="165"/>
  <c r="O33" i="165"/>
  <c r="M33" i="165" s="1"/>
  <c r="N11" i="166"/>
  <c r="O12" i="166"/>
  <c r="M12" i="166" s="1"/>
  <c r="N15" i="166"/>
  <c r="O16" i="166"/>
  <c r="M16" i="166" s="1"/>
  <c r="N19" i="166"/>
  <c r="O20" i="166"/>
  <c r="M20" i="166" s="1"/>
  <c r="N23" i="166"/>
  <c r="O24" i="166"/>
  <c r="M24" i="166" s="1"/>
  <c r="N27" i="166"/>
  <c r="O28" i="166"/>
  <c r="M28" i="166" s="1"/>
  <c r="N31" i="166"/>
  <c r="O32" i="166"/>
  <c r="M32" i="166" s="1"/>
  <c r="G35" i="166"/>
  <c r="T14" i="165"/>
  <c r="G80" i="47"/>
  <c r="F28" i="168" l="1"/>
  <c r="X28" i="168"/>
  <c r="I30" i="165"/>
  <c r="I7" i="169"/>
  <c r="T27" i="165"/>
  <c r="T31" i="165"/>
  <c r="T34" i="165"/>
  <c r="L28" i="168"/>
  <c r="T26" i="165"/>
  <c r="I26" i="165"/>
  <c r="T13" i="165"/>
  <c r="I13" i="165"/>
  <c r="I17" i="165"/>
  <c r="T18" i="165"/>
  <c r="T22" i="165"/>
  <c r="I22" i="165"/>
  <c r="E35" i="167"/>
  <c r="T23" i="165"/>
  <c r="M28" i="165"/>
  <c r="M20" i="165"/>
  <c r="K28" i="168"/>
  <c r="H7" i="169"/>
  <c r="K7" i="169" s="1"/>
  <c r="L4" i="169" s="1"/>
  <c r="C25" i="169" s="1"/>
  <c r="M27" i="166"/>
  <c r="M19" i="166"/>
  <c r="W28" i="168"/>
  <c r="E22" i="169"/>
  <c r="K14" i="169"/>
  <c r="L11" i="169" s="1"/>
  <c r="C26" i="169" s="1"/>
  <c r="E26" i="169" s="1"/>
  <c r="I35" i="167"/>
  <c r="K4" i="169"/>
  <c r="K11" i="169"/>
  <c r="Y20" i="168"/>
  <c r="Y28" i="168" s="1"/>
  <c r="M28" i="168"/>
  <c r="M11" i="165"/>
  <c r="I21" i="165"/>
  <c r="T21" i="165"/>
  <c r="M11" i="166"/>
  <c r="N35" i="166"/>
  <c r="I33" i="165"/>
  <c r="T33" i="165"/>
  <c r="I25" i="165"/>
  <c r="T25" i="165"/>
  <c r="O19" i="165"/>
  <c r="O35" i="165" s="1"/>
  <c r="J19" i="165"/>
  <c r="N19" i="165"/>
  <c r="M32" i="165"/>
  <c r="M24" i="165"/>
  <c r="M15" i="165"/>
  <c r="J35" i="166"/>
  <c r="I29" i="165"/>
  <c r="T29" i="165"/>
  <c r="I16" i="165"/>
  <c r="T16" i="165"/>
  <c r="I12" i="165"/>
  <c r="T12" i="165"/>
  <c r="T11" i="166"/>
  <c r="T35" i="166" s="1"/>
  <c r="I35" i="166"/>
  <c r="M31" i="166"/>
  <c r="M23" i="166"/>
  <c r="M15" i="166"/>
  <c r="O35" i="166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30" i="88"/>
  <c r="J31" i="88"/>
  <c r="J32" i="88"/>
  <c r="J33" i="88"/>
  <c r="J34" i="88"/>
  <c r="J35" i="88"/>
  <c r="J36" i="88"/>
  <c r="J37" i="88"/>
  <c r="J14" i="88"/>
  <c r="Y15" i="88"/>
  <c r="Y16" i="88"/>
  <c r="Y17" i="88"/>
  <c r="Y18" i="88"/>
  <c r="Y19" i="88"/>
  <c r="Y20" i="88"/>
  <c r="Y21" i="88"/>
  <c r="Y22" i="88"/>
  <c r="Y23" i="88"/>
  <c r="Y24" i="88"/>
  <c r="Y25" i="88"/>
  <c r="Y26" i="88"/>
  <c r="Y27" i="88"/>
  <c r="Y28" i="88"/>
  <c r="Y29" i="88"/>
  <c r="Y30" i="88"/>
  <c r="Y31" i="88"/>
  <c r="Y32" i="88"/>
  <c r="Y33" i="88"/>
  <c r="Y34" i="88"/>
  <c r="Y35" i="88"/>
  <c r="Y36" i="88"/>
  <c r="Y37" i="88"/>
  <c r="Y14" i="88"/>
  <c r="X15" i="88"/>
  <c r="X16" i="88"/>
  <c r="X17" i="88"/>
  <c r="X18" i="88"/>
  <c r="X19" i="88"/>
  <c r="X20" i="88"/>
  <c r="X21" i="88"/>
  <c r="X22" i="88"/>
  <c r="X23" i="88"/>
  <c r="X24" i="88"/>
  <c r="X25" i="88"/>
  <c r="X26" i="88"/>
  <c r="X27" i="88"/>
  <c r="X28" i="88"/>
  <c r="X29" i="88"/>
  <c r="X30" i="88"/>
  <c r="X31" i="88"/>
  <c r="X32" i="88"/>
  <c r="X33" i="88"/>
  <c r="X34" i="88"/>
  <c r="X35" i="88"/>
  <c r="X36" i="88"/>
  <c r="X37" i="88"/>
  <c r="X14" i="88"/>
  <c r="X38" i="88" l="1"/>
  <c r="G19" i="169"/>
  <c r="G22" i="169" s="1"/>
  <c r="C27" i="169"/>
  <c r="E27" i="169" s="1"/>
  <c r="E25" i="169"/>
  <c r="I19" i="165"/>
  <c r="I35" i="165" s="1"/>
  <c r="T19" i="165"/>
  <c r="T35" i="165" s="1"/>
  <c r="J35" i="165"/>
  <c r="M19" i="165"/>
  <c r="M35" i="165" s="1"/>
  <c r="M35" i="166"/>
  <c r="N35" i="165"/>
  <c r="H17" i="115"/>
  <c r="G17" i="115"/>
  <c r="F17" i="115"/>
  <c r="E17" i="115"/>
  <c r="H19" i="169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12" i="4" l="1"/>
  <c r="C13" i="74" l="1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12" i="74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12" i="5"/>
  <c r="O35" i="47"/>
  <c r="O35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11" i="60"/>
  <c r="D33" i="124" l="1"/>
  <c r="E33" i="124"/>
  <c r="G33" i="124"/>
  <c r="H33" i="124"/>
  <c r="I36" i="74" l="1"/>
  <c r="I20" i="103" l="1"/>
  <c r="Q20" i="103" s="1"/>
  <c r="M12" i="148" l="1"/>
  <c r="M13" i="148"/>
  <c r="M14" i="148"/>
  <c r="M15" i="148"/>
  <c r="M16" i="148"/>
  <c r="M17" i="148"/>
  <c r="M18" i="148"/>
  <c r="M19" i="148"/>
  <c r="M20" i="148"/>
  <c r="M21" i="148"/>
  <c r="M22" i="148"/>
  <c r="M23" i="148"/>
  <c r="M24" i="148"/>
  <c r="M25" i="148"/>
  <c r="M26" i="148"/>
  <c r="M27" i="148"/>
  <c r="M28" i="148"/>
  <c r="M11" i="148"/>
  <c r="C79" i="88"/>
  <c r="D79" i="88"/>
  <c r="E79" i="88"/>
  <c r="F79" i="88"/>
  <c r="D29" i="141"/>
  <c r="P13" i="149"/>
  <c r="P14" i="149"/>
  <c r="P15" i="149"/>
  <c r="P16" i="149"/>
  <c r="P17" i="149"/>
  <c r="P18" i="149"/>
  <c r="P19" i="149"/>
  <c r="P20" i="149"/>
  <c r="P21" i="149"/>
  <c r="P22" i="149"/>
  <c r="P23" i="149"/>
  <c r="P24" i="149"/>
  <c r="P25" i="149"/>
  <c r="P26" i="149"/>
  <c r="P27" i="149"/>
  <c r="P28" i="149"/>
  <c r="P29" i="149"/>
  <c r="P12" i="149"/>
  <c r="O13" i="149"/>
  <c r="O14" i="149"/>
  <c r="O15" i="149"/>
  <c r="O16" i="149"/>
  <c r="O17" i="149"/>
  <c r="O18" i="149"/>
  <c r="O19" i="149"/>
  <c r="O20" i="149"/>
  <c r="O21" i="149"/>
  <c r="O22" i="149"/>
  <c r="O23" i="149"/>
  <c r="O24" i="149"/>
  <c r="O25" i="149"/>
  <c r="O26" i="149"/>
  <c r="O27" i="149"/>
  <c r="O28" i="149"/>
  <c r="O29" i="149"/>
  <c r="O12" i="149"/>
  <c r="P12" i="148"/>
  <c r="P13" i="148"/>
  <c r="P14" i="148"/>
  <c r="P15" i="148"/>
  <c r="P16" i="148"/>
  <c r="P17" i="148"/>
  <c r="P18" i="148"/>
  <c r="P19" i="148"/>
  <c r="P20" i="148"/>
  <c r="P21" i="148"/>
  <c r="P22" i="148"/>
  <c r="P23" i="148"/>
  <c r="P24" i="148"/>
  <c r="P25" i="148"/>
  <c r="P26" i="148"/>
  <c r="P27" i="148"/>
  <c r="P28" i="148"/>
  <c r="P11" i="148"/>
  <c r="O12" i="148"/>
  <c r="O13" i="148"/>
  <c r="O14" i="148"/>
  <c r="O15" i="148"/>
  <c r="O16" i="148"/>
  <c r="O17" i="148"/>
  <c r="O18" i="148"/>
  <c r="O19" i="148"/>
  <c r="O20" i="148"/>
  <c r="O21" i="148"/>
  <c r="O22" i="148"/>
  <c r="O23" i="148"/>
  <c r="O24" i="148"/>
  <c r="O25" i="148"/>
  <c r="O26" i="148"/>
  <c r="O27" i="148"/>
  <c r="O28" i="148"/>
  <c r="O11" i="148"/>
  <c r="N29" i="148"/>
  <c r="C17" i="139"/>
  <c r="C18" i="139"/>
  <c r="C19" i="139"/>
  <c r="C20" i="139"/>
  <c r="C21" i="139"/>
  <c r="C22" i="139"/>
  <c r="C23" i="139"/>
  <c r="C24" i="139"/>
  <c r="C25" i="139"/>
  <c r="C26" i="139"/>
  <c r="C27" i="139"/>
  <c r="C28" i="139"/>
  <c r="C29" i="139"/>
  <c r="C30" i="139"/>
  <c r="C31" i="139"/>
  <c r="C32" i="139"/>
  <c r="C33" i="139"/>
  <c r="C34" i="139"/>
  <c r="C35" i="139"/>
  <c r="C36" i="139"/>
  <c r="C37" i="139"/>
  <c r="C38" i="139"/>
  <c r="C39" i="139"/>
  <c r="C16" i="139"/>
  <c r="J36" i="26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12" i="4"/>
  <c r="L35" i="1" l="1"/>
  <c r="L34" i="1"/>
  <c r="L33" i="1"/>
  <c r="L32" i="1"/>
  <c r="C32" i="66" s="1"/>
  <c r="D32" i="66" s="1"/>
  <c r="L31" i="1"/>
  <c r="C31" i="66" s="1"/>
  <c r="D31" i="66" s="1"/>
  <c r="L30" i="1"/>
  <c r="L29" i="1"/>
  <c r="L28" i="1"/>
  <c r="C28" i="66" s="1"/>
  <c r="D28" i="66" s="1"/>
  <c r="E27" i="84" s="1"/>
  <c r="J27" i="84" s="1"/>
  <c r="L27" i="1"/>
  <c r="C27" i="66" s="1"/>
  <c r="D27" i="66" s="1"/>
  <c r="L26" i="1"/>
  <c r="L25" i="1"/>
  <c r="L24" i="1"/>
  <c r="C24" i="66" s="1"/>
  <c r="D24" i="66" s="1"/>
  <c r="L23" i="1"/>
  <c r="L22" i="1"/>
  <c r="L21" i="1"/>
  <c r="L20" i="1"/>
  <c r="L19" i="1"/>
  <c r="C19" i="66" s="1"/>
  <c r="D19" i="66" s="1"/>
  <c r="L18" i="1"/>
  <c r="L17" i="1"/>
  <c r="L16" i="1"/>
  <c r="L15" i="1"/>
  <c r="C15" i="66" s="1"/>
  <c r="D15" i="66" s="1"/>
  <c r="L14" i="1"/>
  <c r="L13" i="1"/>
  <c r="L12" i="1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11" i="62"/>
  <c r="C12" i="62"/>
  <c r="C13" i="62"/>
  <c r="C14" i="62"/>
  <c r="C15" i="62"/>
  <c r="C16" i="62"/>
  <c r="C17" i="62"/>
  <c r="C18" i="62"/>
  <c r="F18" i="62" s="1"/>
  <c r="C19" i="62"/>
  <c r="C20" i="62"/>
  <c r="F20" i="62" s="1"/>
  <c r="C21" i="62"/>
  <c r="F21" i="62" s="1"/>
  <c r="C22" i="62"/>
  <c r="F22" i="62" s="1"/>
  <c r="C23" i="62"/>
  <c r="C24" i="62"/>
  <c r="C25" i="62"/>
  <c r="C26" i="62"/>
  <c r="F26" i="62" s="1"/>
  <c r="C27" i="62"/>
  <c r="C28" i="62"/>
  <c r="F28" i="62" s="1"/>
  <c r="C29" i="62"/>
  <c r="C30" i="62"/>
  <c r="F30" i="62" s="1"/>
  <c r="C31" i="62"/>
  <c r="C32" i="62"/>
  <c r="C33" i="62"/>
  <c r="C34" i="62"/>
  <c r="F34" i="62" s="1"/>
  <c r="C11" i="62"/>
  <c r="J17" i="84"/>
  <c r="E17" i="84"/>
  <c r="E16" i="84"/>
  <c r="J16" i="84" s="1"/>
  <c r="C16" i="66"/>
  <c r="D16" i="66" s="1"/>
  <c r="C21" i="66"/>
  <c r="D21" i="66" s="1"/>
  <c r="L12" i="59"/>
  <c r="L13" i="59"/>
  <c r="L14" i="59"/>
  <c r="G15" i="111" s="1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M30" i="59" s="1"/>
  <c r="L31" i="59"/>
  <c r="L32" i="59"/>
  <c r="L33" i="59"/>
  <c r="L34" i="59"/>
  <c r="G35" i="111" s="1"/>
  <c r="L11" i="59"/>
  <c r="G12" i="59"/>
  <c r="D10" i="100" s="1"/>
  <c r="G13" i="59"/>
  <c r="G14" i="59"/>
  <c r="D12" i="100" s="1"/>
  <c r="G15" i="59"/>
  <c r="D13" i="100" s="1"/>
  <c r="G16" i="59"/>
  <c r="D14" i="100" s="1"/>
  <c r="G17" i="59"/>
  <c r="D15" i="100" s="1"/>
  <c r="G18" i="59"/>
  <c r="D16" i="100" s="1"/>
  <c r="G19" i="59"/>
  <c r="G20" i="59"/>
  <c r="D18" i="100" s="1"/>
  <c r="G21" i="59"/>
  <c r="D19" i="100" s="1"/>
  <c r="G22" i="59"/>
  <c r="D20" i="100" s="1"/>
  <c r="G23" i="59"/>
  <c r="G24" i="59"/>
  <c r="D22" i="100" s="1"/>
  <c r="G25" i="59"/>
  <c r="D23" i="100" s="1"/>
  <c r="G26" i="59"/>
  <c r="D24" i="100" s="1"/>
  <c r="G27" i="59"/>
  <c r="G28" i="59"/>
  <c r="D26" i="100"/>
  <c r="G29" i="59"/>
  <c r="G30" i="59"/>
  <c r="D28" i="100" s="1"/>
  <c r="G31" i="59"/>
  <c r="G32" i="59"/>
  <c r="D30" i="100" s="1"/>
  <c r="G33" i="59"/>
  <c r="D31" i="100" s="1"/>
  <c r="G34" i="59"/>
  <c r="D32" i="100" s="1"/>
  <c r="G11" i="59"/>
  <c r="L12" i="58"/>
  <c r="L13" i="58"/>
  <c r="E14" i="66" s="1"/>
  <c r="F14" i="66" s="1"/>
  <c r="L14" i="58"/>
  <c r="L15" i="58"/>
  <c r="E16" i="66" s="1"/>
  <c r="L16" i="58"/>
  <c r="L17" i="58"/>
  <c r="E18" i="66" s="1"/>
  <c r="F18" i="66" s="1"/>
  <c r="L18" i="58"/>
  <c r="L19" i="58"/>
  <c r="E20" i="66" s="1"/>
  <c r="F20" i="66" s="1"/>
  <c r="L20" i="58"/>
  <c r="L21" i="58"/>
  <c r="E22" i="66" s="1"/>
  <c r="F22" i="66" s="1"/>
  <c r="L22" i="58"/>
  <c r="L23" i="58"/>
  <c r="L24" i="58"/>
  <c r="L25" i="58"/>
  <c r="E26" i="66" s="1"/>
  <c r="L26" i="58"/>
  <c r="L27" i="58"/>
  <c r="E28" i="66" s="1"/>
  <c r="F28" i="66" s="1"/>
  <c r="L28" i="58"/>
  <c r="L29" i="58"/>
  <c r="E30" i="66" s="1"/>
  <c r="L30" i="58"/>
  <c r="L31" i="58"/>
  <c r="L32" i="58"/>
  <c r="L33" i="58"/>
  <c r="L34" i="58"/>
  <c r="L11" i="58"/>
  <c r="G12" i="58"/>
  <c r="E10" i="100" s="1"/>
  <c r="G13" i="58"/>
  <c r="E11" i="100" s="1"/>
  <c r="G14" i="58"/>
  <c r="E12" i="100" s="1"/>
  <c r="G15" i="58"/>
  <c r="G16" i="58"/>
  <c r="E14" i="100" s="1"/>
  <c r="G17" i="58"/>
  <c r="E15" i="100" s="1"/>
  <c r="G18" i="58"/>
  <c r="G19" i="58"/>
  <c r="E17" i="100" s="1"/>
  <c r="G20" i="58"/>
  <c r="E18" i="100" s="1"/>
  <c r="G21" i="58"/>
  <c r="M21" i="58" s="1"/>
  <c r="G22" i="58"/>
  <c r="G23" i="58"/>
  <c r="G24" i="58"/>
  <c r="G25" i="58"/>
  <c r="E23" i="100" s="1"/>
  <c r="G26" i="58"/>
  <c r="G27" i="58"/>
  <c r="E25" i="100" s="1"/>
  <c r="G28" i="58"/>
  <c r="E26" i="100" s="1"/>
  <c r="G29" i="58"/>
  <c r="E27" i="100" s="1"/>
  <c r="G30" i="58"/>
  <c r="E28" i="100" s="1"/>
  <c r="G31" i="58"/>
  <c r="E29" i="100" s="1"/>
  <c r="G32" i="58"/>
  <c r="E30" i="100" s="1"/>
  <c r="G33" i="58"/>
  <c r="E31" i="100" s="1"/>
  <c r="G34" i="58"/>
  <c r="G11" i="58"/>
  <c r="E9" i="100" s="1"/>
  <c r="C14" i="66"/>
  <c r="D14" i="66" s="1"/>
  <c r="C17" i="66"/>
  <c r="D17" i="66" s="1"/>
  <c r="C22" i="66"/>
  <c r="D22" i="66" s="1"/>
  <c r="C25" i="66"/>
  <c r="D25" i="66" s="1"/>
  <c r="C26" i="66"/>
  <c r="D26" i="66" s="1"/>
  <c r="C33" i="66"/>
  <c r="D33" i="66" s="1"/>
  <c r="C34" i="66"/>
  <c r="D34" i="66" s="1"/>
  <c r="C35" i="66"/>
  <c r="D35" i="66" s="1"/>
  <c r="G13" i="1"/>
  <c r="C10" i="100" s="1"/>
  <c r="G14" i="1"/>
  <c r="C11" i="100" s="1"/>
  <c r="G15" i="1"/>
  <c r="G16" i="1"/>
  <c r="M16" i="1" s="1"/>
  <c r="G17" i="1"/>
  <c r="C14" i="100" s="1"/>
  <c r="G18" i="1"/>
  <c r="G19" i="1"/>
  <c r="M19" i="1" s="1"/>
  <c r="G20" i="1"/>
  <c r="C17" i="100" s="1"/>
  <c r="G21" i="1"/>
  <c r="G22" i="1"/>
  <c r="C19" i="100" s="1"/>
  <c r="G23" i="1"/>
  <c r="C20" i="100" s="1"/>
  <c r="G24" i="1"/>
  <c r="G25" i="1"/>
  <c r="G26" i="1"/>
  <c r="C23" i="100" s="1"/>
  <c r="G27" i="1"/>
  <c r="C24" i="100" s="1"/>
  <c r="G28" i="1"/>
  <c r="C25" i="100" s="1"/>
  <c r="G29" i="1"/>
  <c r="M29" i="1" s="1"/>
  <c r="G30" i="1"/>
  <c r="C27" i="100" s="1"/>
  <c r="G31" i="1"/>
  <c r="C28" i="100" s="1"/>
  <c r="G32" i="1"/>
  <c r="G33" i="1"/>
  <c r="M33" i="1" s="1"/>
  <c r="G34" i="1"/>
  <c r="M34" i="1" s="1"/>
  <c r="G35" i="1"/>
  <c r="C32" i="100" s="1"/>
  <c r="G12" i="1"/>
  <c r="C9" i="100" s="1"/>
  <c r="C12" i="4" s="1"/>
  <c r="C36" i="4" s="1"/>
  <c r="C35" i="59"/>
  <c r="D35" i="59"/>
  <c r="E35" i="59"/>
  <c r="F35" i="59"/>
  <c r="H35" i="59"/>
  <c r="I35" i="59"/>
  <c r="J35" i="59"/>
  <c r="K35" i="59"/>
  <c r="C35" i="58"/>
  <c r="D35" i="58"/>
  <c r="E35" i="58"/>
  <c r="F35" i="58"/>
  <c r="H35" i="58"/>
  <c r="I35" i="58"/>
  <c r="J35" i="58"/>
  <c r="K35" i="58"/>
  <c r="C36" i="1"/>
  <c r="D36" i="1"/>
  <c r="E36" i="1"/>
  <c r="F36" i="1"/>
  <c r="H36" i="1"/>
  <c r="I36" i="1"/>
  <c r="J36" i="1"/>
  <c r="K36" i="1"/>
  <c r="M32" i="58"/>
  <c r="M28" i="58"/>
  <c r="M35" i="1"/>
  <c r="C22" i="157"/>
  <c r="D22" i="157"/>
  <c r="E22" i="157"/>
  <c r="G22" i="157"/>
  <c r="H22" i="157"/>
  <c r="I22" i="157"/>
  <c r="J22" i="157"/>
  <c r="F21" i="157"/>
  <c r="K21" i="157" s="1"/>
  <c r="F20" i="157"/>
  <c r="K20" i="157" s="1"/>
  <c r="F19" i="157"/>
  <c r="K19" i="157" s="1"/>
  <c r="F18" i="157"/>
  <c r="K18" i="157" s="1"/>
  <c r="F17" i="157"/>
  <c r="K17" i="157" s="1"/>
  <c r="F16" i="157"/>
  <c r="K16" i="157" s="1"/>
  <c r="F15" i="157"/>
  <c r="K15" i="157"/>
  <c r="F14" i="157"/>
  <c r="K14" i="157" s="1"/>
  <c r="F13" i="157"/>
  <c r="K13" i="157" s="1"/>
  <c r="Q12" i="62"/>
  <c r="Q13" i="62"/>
  <c r="Q14" i="62"/>
  <c r="Q15" i="62"/>
  <c r="Q16" i="62"/>
  <c r="Q17" i="62"/>
  <c r="Q18" i="62"/>
  <c r="Q19" i="62"/>
  <c r="Q20" i="62"/>
  <c r="Q21" i="62"/>
  <c r="Q22" i="62"/>
  <c r="Q23" i="62"/>
  <c r="Q24" i="62"/>
  <c r="Q25" i="62"/>
  <c r="Q26" i="62"/>
  <c r="Q27" i="62"/>
  <c r="Q28" i="62"/>
  <c r="Q29" i="62"/>
  <c r="Q30" i="62"/>
  <c r="Q31" i="62"/>
  <c r="Q32" i="62"/>
  <c r="Q33" i="62"/>
  <c r="Q34" i="62"/>
  <c r="Q11" i="62"/>
  <c r="I12" i="65"/>
  <c r="I13" i="65"/>
  <c r="I14" i="65"/>
  <c r="I15" i="65"/>
  <c r="I16" i="65"/>
  <c r="I17" i="65"/>
  <c r="I18" i="65"/>
  <c r="I19" i="65"/>
  <c r="I20" i="65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34" i="65"/>
  <c r="I11" i="65"/>
  <c r="D15" i="88"/>
  <c r="O15" i="88" s="1"/>
  <c r="R15" i="88" s="1"/>
  <c r="D16" i="88"/>
  <c r="D17" i="88"/>
  <c r="D18" i="88"/>
  <c r="O18" i="88" s="1"/>
  <c r="R18" i="88" s="1"/>
  <c r="D19" i="88"/>
  <c r="D20" i="88"/>
  <c r="D21" i="88"/>
  <c r="D22" i="88"/>
  <c r="D23" i="88"/>
  <c r="D24" i="88"/>
  <c r="D25" i="88"/>
  <c r="O25" i="88" s="1"/>
  <c r="R25" i="88" s="1"/>
  <c r="D26" i="88"/>
  <c r="D27" i="88"/>
  <c r="D28" i="88"/>
  <c r="D29" i="88"/>
  <c r="D30" i="88"/>
  <c r="D31" i="88"/>
  <c r="D32" i="88"/>
  <c r="D33" i="88"/>
  <c r="D34" i="88"/>
  <c r="D35" i="88"/>
  <c r="D36" i="88"/>
  <c r="O36" i="88" s="1"/>
  <c r="R36" i="88" s="1"/>
  <c r="D37" i="88"/>
  <c r="D14" i="88"/>
  <c r="I38" i="88"/>
  <c r="C38" i="88"/>
  <c r="Y38" i="88"/>
  <c r="AA8" i="88"/>
  <c r="Z38" i="88"/>
  <c r="E12" i="65"/>
  <c r="K12" i="65" s="1"/>
  <c r="E13" i="65"/>
  <c r="K13" i="65" s="1"/>
  <c r="E14" i="65"/>
  <c r="E15" i="65"/>
  <c r="K15" i="65" s="1"/>
  <c r="E16" i="65"/>
  <c r="K16" i="65" s="1"/>
  <c r="E17" i="65"/>
  <c r="K17" i="65" s="1"/>
  <c r="E18" i="65"/>
  <c r="E19" i="65"/>
  <c r="E20" i="65"/>
  <c r="K20" i="65" s="1"/>
  <c r="E21" i="65"/>
  <c r="K21" i="65" s="1"/>
  <c r="E22" i="65"/>
  <c r="E23" i="65"/>
  <c r="K23" i="65" s="1"/>
  <c r="E24" i="65"/>
  <c r="K24" i="65" s="1"/>
  <c r="E25" i="65"/>
  <c r="K25" i="65" s="1"/>
  <c r="E26" i="65"/>
  <c r="E27" i="65"/>
  <c r="E28" i="65"/>
  <c r="K28" i="65" s="1"/>
  <c r="E29" i="65"/>
  <c r="K29" i="65" s="1"/>
  <c r="E30" i="65"/>
  <c r="E31" i="65"/>
  <c r="K31" i="65" s="1"/>
  <c r="E32" i="65"/>
  <c r="K32" i="65" s="1"/>
  <c r="E33" i="65"/>
  <c r="K33" i="65" s="1"/>
  <c r="E34" i="65"/>
  <c r="E11" i="65"/>
  <c r="F35" i="65"/>
  <c r="H35" i="65"/>
  <c r="J35" i="65"/>
  <c r="L35" i="65"/>
  <c r="D35" i="65"/>
  <c r="C36" i="153"/>
  <c r="G36" i="153"/>
  <c r="K36" i="153"/>
  <c r="O36" i="153"/>
  <c r="S35" i="153"/>
  <c r="Q35" i="153"/>
  <c r="P35" i="153"/>
  <c r="M35" i="153"/>
  <c r="L35" i="153"/>
  <c r="I35" i="153"/>
  <c r="H35" i="153"/>
  <c r="E35" i="153"/>
  <c r="D35" i="153"/>
  <c r="F35" i="153" s="1"/>
  <c r="S34" i="153"/>
  <c r="Q34" i="153"/>
  <c r="P34" i="153"/>
  <c r="M34" i="153"/>
  <c r="L34" i="153"/>
  <c r="I34" i="153"/>
  <c r="H34" i="153"/>
  <c r="E34" i="153"/>
  <c r="D34" i="153"/>
  <c r="S33" i="153"/>
  <c r="Q33" i="153"/>
  <c r="P33" i="153"/>
  <c r="M33" i="153"/>
  <c r="L33" i="153"/>
  <c r="I33" i="153"/>
  <c r="H33" i="153"/>
  <c r="E33" i="153"/>
  <c r="D33" i="153"/>
  <c r="S32" i="153"/>
  <c r="Q32" i="153"/>
  <c r="P32" i="153"/>
  <c r="M32" i="153"/>
  <c r="L32" i="153"/>
  <c r="I32" i="153"/>
  <c r="H32" i="153"/>
  <c r="E32" i="153"/>
  <c r="D32" i="153"/>
  <c r="S31" i="153"/>
  <c r="Q31" i="153"/>
  <c r="P31" i="153"/>
  <c r="M31" i="153"/>
  <c r="L31" i="153"/>
  <c r="I31" i="153"/>
  <c r="H31" i="153"/>
  <c r="E31" i="153"/>
  <c r="D31" i="153"/>
  <c r="T31" i="153" s="1"/>
  <c r="S30" i="153"/>
  <c r="Q30" i="153"/>
  <c r="P30" i="153"/>
  <c r="M30" i="153"/>
  <c r="N30" i="153" s="1"/>
  <c r="L30" i="153"/>
  <c r="I30" i="153"/>
  <c r="H30" i="153"/>
  <c r="E30" i="153"/>
  <c r="F30" i="153" s="1"/>
  <c r="D30" i="153"/>
  <c r="S29" i="153"/>
  <c r="Q29" i="153"/>
  <c r="P29" i="153"/>
  <c r="R29" i="153" s="1"/>
  <c r="M29" i="153"/>
  <c r="L29" i="153"/>
  <c r="N29" i="153" s="1"/>
  <c r="I29" i="153"/>
  <c r="H29" i="153"/>
  <c r="E29" i="153"/>
  <c r="D29" i="153"/>
  <c r="S28" i="153"/>
  <c r="Q28" i="153"/>
  <c r="P28" i="153"/>
  <c r="M28" i="153"/>
  <c r="L28" i="153"/>
  <c r="I28" i="153"/>
  <c r="H28" i="153"/>
  <c r="E28" i="153"/>
  <c r="D28" i="153"/>
  <c r="S27" i="153"/>
  <c r="Q27" i="153"/>
  <c r="P27" i="153"/>
  <c r="R27" i="153" s="1"/>
  <c r="M27" i="153"/>
  <c r="L27" i="153"/>
  <c r="I27" i="153"/>
  <c r="H27" i="153"/>
  <c r="J27" i="153" s="1"/>
  <c r="E27" i="153"/>
  <c r="D27" i="153"/>
  <c r="F27" i="153" s="1"/>
  <c r="S26" i="153"/>
  <c r="Q26" i="153"/>
  <c r="P26" i="153"/>
  <c r="M26" i="153"/>
  <c r="N26" i="153" s="1"/>
  <c r="L26" i="153"/>
  <c r="I26" i="153"/>
  <c r="H26" i="153"/>
  <c r="E26" i="153"/>
  <c r="F26" i="153" s="1"/>
  <c r="D26" i="153"/>
  <c r="S25" i="153"/>
  <c r="Q25" i="153"/>
  <c r="P25" i="153"/>
  <c r="M25" i="153"/>
  <c r="L25" i="153"/>
  <c r="I25" i="153"/>
  <c r="H25" i="153"/>
  <c r="J25" i="153" s="1"/>
  <c r="E25" i="153"/>
  <c r="D25" i="153"/>
  <c r="F25" i="153" s="1"/>
  <c r="S24" i="153"/>
  <c r="Q24" i="153"/>
  <c r="P24" i="153"/>
  <c r="M24" i="153"/>
  <c r="L24" i="153"/>
  <c r="I24" i="153"/>
  <c r="H24" i="153"/>
  <c r="E24" i="153"/>
  <c r="D24" i="153"/>
  <c r="S23" i="153"/>
  <c r="Q23" i="153"/>
  <c r="P23" i="153"/>
  <c r="R23" i="153" s="1"/>
  <c r="M23" i="153"/>
  <c r="L23" i="153"/>
  <c r="N23" i="153" s="1"/>
  <c r="I23" i="153"/>
  <c r="H23" i="153"/>
  <c r="E23" i="153"/>
  <c r="D23" i="153"/>
  <c r="T23" i="153" s="1"/>
  <c r="S22" i="153"/>
  <c r="Q22" i="153"/>
  <c r="P22" i="153"/>
  <c r="M22" i="153"/>
  <c r="L22" i="153"/>
  <c r="I22" i="153"/>
  <c r="H22" i="153"/>
  <c r="E22" i="153"/>
  <c r="F22" i="153" s="1"/>
  <c r="D22" i="153"/>
  <c r="S21" i="153"/>
  <c r="Q21" i="153"/>
  <c r="P21" i="153"/>
  <c r="M21" i="153"/>
  <c r="L21" i="153"/>
  <c r="N21" i="153" s="1"/>
  <c r="I21" i="153"/>
  <c r="H21" i="153"/>
  <c r="E21" i="153"/>
  <c r="D21" i="153"/>
  <c r="S20" i="153"/>
  <c r="Q20" i="153"/>
  <c r="P20" i="153"/>
  <c r="M20" i="153"/>
  <c r="L20" i="153"/>
  <c r="I20" i="153"/>
  <c r="H20" i="153"/>
  <c r="E20" i="153"/>
  <c r="D20" i="153"/>
  <c r="S19" i="153"/>
  <c r="Q19" i="153"/>
  <c r="P19" i="153"/>
  <c r="M19" i="153"/>
  <c r="L19" i="153"/>
  <c r="I19" i="153"/>
  <c r="H19" i="153"/>
  <c r="E19" i="153"/>
  <c r="D19" i="153"/>
  <c r="S18" i="153"/>
  <c r="Q18" i="153"/>
  <c r="P18" i="153"/>
  <c r="M18" i="153"/>
  <c r="L18" i="153"/>
  <c r="I18" i="153"/>
  <c r="H18" i="153"/>
  <c r="E18" i="153"/>
  <c r="D18" i="153"/>
  <c r="S17" i="153"/>
  <c r="Q17" i="153"/>
  <c r="P17" i="153"/>
  <c r="R17" i="153" s="1"/>
  <c r="M17" i="153"/>
  <c r="L17" i="153"/>
  <c r="I17" i="153"/>
  <c r="H17" i="153"/>
  <c r="T17" i="153" s="1"/>
  <c r="E17" i="153"/>
  <c r="D17" i="153"/>
  <c r="S16" i="153"/>
  <c r="Q16" i="153"/>
  <c r="R16" i="153" s="1"/>
  <c r="P16" i="153"/>
  <c r="M16" i="153"/>
  <c r="L16" i="153"/>
  <c r="I16" i="153"/>
  <c r="H16" i="153"/>
  <c r="E16" i="153"/>
  <c r="D16" i="153"/>
  <c r="S15" i="153"/>
  <c r="Q15" i="153"/>
  <c r="P15" i="153"/>
  <c r="M15" i="153"/>
  <c r="L15" i="153"/>
  <c r="I15" i="153"/>
  <c r="H15" i="153"/>
  <c r="E15" i="153"/>
  <c r="D15" i="153"/>
  <c r="F15" i="153" s="1"/>
  <c r="S14" i="153"/>
  <c r="Q14" i="153"/>
  <c r="P14" i="153"/>
  <c r="M14" i="153"/>
  <c r="L14" i="153"/>
  <c r="I14" i="153"/>
  <c r="H14" i="153"/>
  <c r="E14" i="153"/>
  <c r="D14" i="153"/>
  <c r="S13" i="153"/>
  <c r="Q13" i="153"/>
  <c r="P13" i="153"/>
  <c r="M13" i="153"/>
  <c r="L13" i="153"/>
  <c r="I13" i="153"/>
  <c r="H13" i="153"/>
  <c r="J13" i="153" s="1"/>
  <c r="E13" i="153"/>
  <c r="D13" i="153"/>
  <c r="S12" i="153"/>
  <c r="Q12" i="153"/>
  <c r="R12" i="153" s="1"/>
  <c r="P12" i="153"/>
  <c r="M12" i="153"/>
  <c r="L12" i="153"/>
  <c r="I12" i="153"/>
  <c r="J12" i="153" s="1"/>
  <c r="H12" i="153"/>
  <c r="E12" i="153"/>
  <c r="D12" i="153"/>
  <c r="G33" i="135"/>
  <c r="E10" i="135"/>
  <c r="E11" i="135"/>
  <c r="E12" i="135"/>
  <c r="E13" i="135"/>
  <c r="E14" i="135"/>
  <c r="E15" i="135"/>
  <c r="F15" i="135" s="1"/>
  <c r="E16" i="135"/>
  <c r="F16" i="135" s="1"/>
  <c r="E17" i="135"/>
  <c r="F17" i="135" s="1"/>
  <c r="E18" i="135"/>
  <c r="F18" i="135" s="1"/>
  <c r="E19" i="135"/>
  <c r="F19" i="135" s="1"/>
  <c r="E20" i="135"/>
  <c r="E21" i="135"/>
  <c r="E22" i="135"/>
  <c r="E23" i="135"/>
  <c r="E24" i="135"/>
  <c r="E25" i="135"/>
  <c r="E26" i="135"/>
  <c r="E27" i="135"/>
  <c r="F27" i="135" s="1"/>
  <c r="E28" i="135"/>
  <c r="F28" i="135" s="1"/>
  <c r="E29" i="135"/>
  <c r="E30" i="135"/>
  <c r="E31" i="135"/>
  <c r="E32" i="135"/>
  <c r="E9" i="135"/>
  <c r="D33" i="135"/>
  <c r="I33" i="124"/>
  <c r="J33" i="124"/>
  <c r="K33" i="124"/>
  <c r="L33" i="124"/>
  <c r="M33" i="124"/>
  <c r="N33" i="124"/>
  <c r="D16" i="103"/>
  <c r="D34" i="103" s="1"/>
  <c r="D15" i="103"/>
  <c r="E34" i="103"/>
  <c r="F34" i="103"/>
  <c r="G34" i="103"/>
  <c r="C33" i="155"/>
  <c r="E33" i="155"/>
  <c r="D13" i="155"/>
  <c r="D16" i="155"/>
  <c r="D18" i="155"/>
  <c r="D19" i="155"/>
  <c r="D20" i="155"/>
  <c r="D21" i="155"/>
  <c r="D25" i="155"/>
  <c r="D28" i="155"/>
  <c r="D31" i="155"/>
  <c r="D32" i="155"/>
  <c r="E30" i="142"/>
  <c r="D9" i="142"/>
  <c r="D10" i="142"/>
  <c r="D11" i="142"/>
  <c r="D12" i="142"/>
  <c r="D13" i="142"/>
  <c r="D14" i="142"/>
  <c r="D15" i="142"/>
  <c r="D16" i="142"/>
  <c r="D17" i="142"/>
  <c r="D18" i="142"/>
  <c r="D19" i="142"/>
  <c r="D20" i="142"/>
  <c r="D21" i="142"/>
  <c r="D22" i="142"/>
  <c r="D23" i="142"/>
  <c r="D24" i="142"/>
  <c r="D25" i="142"/>
  <c r="D26" i="142"/>
  <c r="D27" i="142"/>
  <c r="D28" i="142"/>
  <c r="D29" i="142"/>
  <c r="D31" i="142"/>
  <c r="D8" i="142"/>
  <c r="D32" i="142" s="1"/>
  <c r="F32" i="142"/>
  <c r="G32" i="142"/>
  <c r="G27" i="102"/>
  <c r="G26" i="102"/>
  <c r="G22" i="102"/>
  <c r="G21" i="102"/>
  <c r="G20" i="102"/>
  <c r="G19" i="102"/>
  <c r="G18" i="102"/>
  <c r="G17" i="102"/>
  <c r="G16" i="102"/>
  <c r="G15" i="102"/>
  <c r="J14" i="105"/>
  <c r="D40" i="139"/>
  <c r="E40" i="139"/>
  <c r="F40" i="139"/>
  <c r="G40" i="139"/>
  <c r="H40" i="139"/>
  <c r="I40" i="139"/>
  <c r="J40" i="139"/>
  <c r="K40" i="139"/>
  <c r="L40" i="139"/>
  <c r="C40" i="139"/>
  <c r="C36" i="117"/>
  <c r="E36" i="117"/>
  <c r="G36" i="117"/>
  <c r="H36" i="117"/>
  <c r="K36" i="117"/>
  <c r="I35" i="117"/>
  <c r="J35" i="117" s="1"/>
  <c r="F35" i="117"/>
  <c r="D35" i="117"/>
  <c r="I34" i="117"/>
  <c r="J34" i="117" s="1"/>
  <c r="F34" i="117"/>
  <c r="D34" i="117"/>
  <c r="I33" i="117"/>
  <c r="J33" i="117" s="1"/>
  <c r="F33" i="117"/>
  <c r="D33" i="117"/>
  <c r="I32" i="117"/>
  <c r="J32" i="117" s="1"/>
  <c r="F32" i="117"/>
  <c r="D32" i="117"/>
  <c r="I31" i="117"/>
  <c r="J31" i="117" s="1"/>
  <c r="F31" i="117"/>
  <c r="D31" i="117"/>
  <c r="I30" i="117"/>
  <c r="J30" i="117" s="1"/>
  <c r="F30" i="117"/>
  <c r="D30" i="117"/>
  <c r="I29" i="117"/>
  <c r="J29" i="117" s="1"/>
  <c r="F29" i="117"/>
  <c r="D29" i="117"/>
  <c r="I28" i="117"/>
  <c r="J28" i="117" s="1"/>
  <c r="F28" i="117"/>
  <c r="D28" i="117"/>
  <c r="I27" i="117"/>
  <c r="J27" i="117" s="1"/>
  <c r="F27" i="117"/>
  <c r="D27" i="117"/>
  <c r="I26" i="117"/>
  <c r="J26" i="117" s="1"/>
  <c r="F26" i="117"/>
  <c r="D26" i="117"/>
  <c r="I25" i="117"/>
  <c r="J25" i="117" s="1"/>
  <c r="F25" i="117"/>
  <c r="D25" i="117"/>
  <c r="I24" i="117"/>
  <c r="J24" i="117" s="1"/>
  <c r="F24" i="117"/>
  <c r="D24" i="117"/>
  <c r="I23" i="117"/>
  <c r="J23" i="117" s="1"/>
  <c r="F23" i="117"/>
  <c r="D23" i="117"/>
  <c r="I22" i="117"/>
  <c r="J22" i="117" s="1"/>
  <c r="F22" i="117"/>
  <c r="D22" i="117"/>
  <c r="I21" i="117"/>
  <c r="J21" i="117" s="1"/>
  <c r="F21" i="117"/>
  <c r="D21" i="117"/>
  <c r="I20" i="117"/>
  <c r="J20" i="117" s="1"/>
  <c r="F20" i="117"/>
  <c r="D20" i="117"/>
  <c r="I19" i="117"/>
  <c r="J19" i="117"/>
  <c r="F19" i="117"/>
  <c r="D19" i="117"/>
  <c r="I18" i="117"/>
  <c r="J18" i="117" s="1"/>
  <c r="F18" i="117"/>
  <c r="D18" i="117"/>
  <c r="I17" i="117"/>
  <c r="J17" i="117" s="1"/>
  <c r="F17" i="117"/>
  <c r="D17" i="117"/>
  <c r="I16" i="117"/>
  <c r="J16" i="117" s="1"/>
  <c r="F16" i="117"/>
  <c r="D16" i="117"/>
  <c r="I15" i="117"/>
  <c r="J15" i="117" s="1"/>
  <c r="F15" i="117"/>
  <c r="D15" i="117"/>
  <c r="I14" i="117"/>
  <c r="J14" i="117" s="1"/>
  <c r="F14" i="117"/>
  <c r="D14" i="117"/>
  <c r="I13" i="117"/>
  <c r="J13" i="117" s="1"/>
  <c r="F13" i="117"/>
  <c r="D13" i="117"/>
  <c r="I12" i="117"/>
  <c r="F12" i="117"/>
  <c r="D12" i="117"/>
  <c r="C36" i="26"/>
  <c r="E36" i="26"/>
  <c r="G36" i="26"/>
  <c r="H36" i="26"/>
  <c r="I36" i="26"/>
  <c r="K36" i="26"/>
  <c r="F35" i="26"/>
  <c r="D35" i="26"/>
  <c r="F34" i="26"/>
  <c r="D34" i="26"/>
  <c r="F33" i="26"/>
  <c r="D33" i="26"/>
  <c r="F32" i="26"/>
  <c r="D32" i="26"/>
  <c r="F31" i="26"/>
  <c r="D31" i="26"/>
  <c r="F30" i="26"/>
  <c r="D30" i="26"/>
  <c r="F29" i="26"/>
  <c r="D29" i="26"/>
  <c r="F28" i="26"/>
  <c r="D28" i="26"/>
  <c r="F27" i="26"/>
  <c r="D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C37" i="138"/>
  <c r="D37" i="138"/>
  <c r="C36" i="93"/>
  <c r="D36" i="93"/>
  <c r="E36" i="93"/>
  <c r="F36" i="93"/>
  <c r="G36" i="93"/>
  <c r="H36" i="93"/>
  <c r="I36" i="93"/>
  <c r="J36" i="93"/>
  <c r="K36" i="93"/>
  <c r="L36" i="93"/>
  <c r="H12" i="14"/>
  <c r="F17" i="14"/>
  <c r="F25" i="14" s="1"/>
  <c r="G17" i="14"/>
  <c r="G25" i="14" s="1"/>
  <c r="E17" i="14"/>
  <c r="H17" i="14" s="1"/>
  <c r="H25" i="14" s="1"/>
  <c r="E16" i="14"/>
  <c r="D16" i="14"/>
  <c r="F16" i="14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3" i="16"/>
  <c r="N34" i="16"/>
  <c r="N12" i="16"/>
  <c r="P13" i="16"/>
  <c r="Q13" i="16" s="1"/>
  <c r="R13" i="16" s="1"/>
  <c r="P14" i="16"/>
  <c r="Q14" i="16" s="1"/>
  <c r="R14" i="16" s="1"/>
  <c r="P15" i="16"/>
  <c r="Q15" i="16" s="1"/>
  <c r="R15" i="16" s="1"/>
  <c r="P16" i="16"/>
  <c r="Q16" i="16" s="1"/>
  <c r="R16" i="16"/>
  <c r="P17" i="16"/>
  <c r="Q17" i="16" s="1"/>
  <c r="R17" i="16" s="1"/>
  <c r="P18" i="16"/>
  <c r="Q18" i="16" s="1"/>
  <c r="R18" i="16" s="1"/>
  <c r="P19" i="16"/>
  <c r="Q19" i="16"/>
  <c r="R19" i="16" s="1"/>
  <c r="P20" i="16"/>
  <c r="Q20" i="16" s="1"/>
  <c r="R20" i="16" s="1"/>
  <c r="P22" i="16"/>
  <c r="Q22" i="16" s="1"/>
  <c r="R22" i="16" s="1"/>
  <c r="P23" i="16"/>
  <c r="Q23" i="16" s="1"/>
  <c r="R23" i="16" s="1"/>
  <c r="P24" i="16"/>
  <c r="Q24" i="16" s="1"/>
  <c r="R24" i="16" s="1"/>
  <c r="P26" i="16"/>
  <c r="Q26" i="16" s="1"/>
  <c r="R26" i="16" s="1"/>
  <c r="P28" i="16"/>
  <c r="Q28" i="16" s="1"/>
  <c r="R28" i="16" s="1"/>
  <c r="P29" i="16"/>
  <c r="Q29" i="16" s="1"/>
  <c r="R29" i="16" s="1"/>
  <c r="P31" i="16"/>
  <c r="Q31" i="16" s="1"/>
  <c r="R31" i="16" s="1"/>
  <c r="P33" i="16"/>
  <c r="Q33" i="16" s="1"/>
  <c r="R33" i="16" s="1"/>
  <c r="P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3" i="16"/>
  <c r="O34" i="16"/>
  <c r="O12" i="16"/>
  <c r="H27" i="16"/>
  <c r="P27" i="16" s="1"/>
  <c r="Q27" i="16" s="1"/>
  <c r="R27" i="16" s="1"/>
  <c r="G35" i="16"/>
  <c r="N35" i="16" s="1"/>
  <c r="H21" i="16"/>
  <c r="H25" i="16"/>
  <c r="P25" i="16" s="1"/>
  <c r="Q25" i="16" s="1"/>
  <c r="R25" i="16" s="1"/>
  <c r="H30" i="16"/>
  <c r="P30" i="16" s="1"/>
  <c r="Q30" i="16" s="1"/>
  <c r="R30" i="16" s="1"/>
  <c r="H32" i="16"/>
  <c r="P32" i="16" s="1"/>
  <c r="Q32" i="16" s="1"/>
  <c r="R32" i="16" s="1"/>
  <c r="H34" i="16"/>
  <c r="P34" i="16" s="1"/>
  <c r="Q34" i="16" s="1"/>
  <c r="R34" i="16" s="1"/>
  <c r="H35" i="16"/>
  <c r="P35" i="16" s="1"/>
  <c r="Q35" i="16" s="1"/>
  <c r="R35" i="16" s="1"/>
  <c r="G32" i="16"/>
  <c r="N32" i="16" s="1"/>
  <c r="Z36" i="16"/>
  <c r="AH36" i="16"/>
  <c r="AG27" i="16"/>
  <c r="AG28" i="16"/>
  <c r="AF27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8" i="16"/>
  <c r="AF29" i="16"/>
  <c r="AF30" i="16"/>
  <c r="AF31" i="16"/>
  <c r="AF32" i="16"/>
  <c r="AF33" i="16"/>
  <c r="AF34" i="16"/>
  <c r="AF35" i="16"/>
  <c r="AF12" i="16"/>
  <c r="AE27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8" i="16"/>
  <c r="AE29" i="16"/>
  <c r="AE30" i="16"/>
  <c r="AE31" i="16"/>
  <c r="AE32" i="16"/>
  <c r="AE33" i="16"/>
  <c r="AE34" i="16"/>
  <c r="AE35" i="16"/>
  <c r="AE12" i="16"/>
  <c r="AD13" i="16"/>
  <c r="AD14" i="16"/>
  <c r="AD15" i="16"/>
  <c r="AD16" i="16"/>
  <c r="AD17" i="16"/>
  <c r="AD18" i="16"/>
  <c r="AI18" i="16"/>
  <c r="AD19" i="16"/>
  <c r="AI19" i="16" s="1"/>
  <c r="AD20" i="16"/>
  <c r="AD21" i="16"/>
  <c r="AD22" i="16"/>
  <c r="AI22" i="16" s="1"/>
  <c r="AD23" i="16"/>
  <c r="AI23" i="16" s="1"/>
  <c r="AD24" i="16"/>
  <c r="AD25" i="16"/>
  <c r="AD26" i="16"/>
  <c r="AD28" i="16"/>
  <c r="AD29" i="16"/>
  <c r="AD30" i="16"/>
  <c r="AD31" i="16"/>
  <c r="AI31" i="16" s="1"/>
  <c r="AD32" i="16"/>
  <c r="AI32" i="16" s="1"/>
  <c r="AD33" i="16"/>
  <c r="AI33" i="16" s="1"/>
  <c r="AD34" i="16"/>
  <c r="AI34" i="16" s="1"/>
  <c r="AD35" i="16"/>
  <c r="AD12" i="16"/>
  <c r="AB36" i="16"/>
  <c r="AE38" i="16" s="1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12" i="16"/>
  <c r="Y13" i="16"/>
  <c r="AA13" i="16" s="1"/>
  <c r="Y14" i="16"/>
  <c r="AA14" i="16" s="1"/>
  <c r="Y15" i="16"/>
  <c r="AA15" i="16" s="1"/>
  <c r="Y16" i="16"/>
  <c r="AA16" i="16" s="1"/>
  <c r="Y17" i="16"/>
  <c r="AA17" i="16" s="1"/>
  <c r="Y18" i="16"/>
  <c r="AA18" i="16" s="1"/>
  <c r="Y19" i="16"/>
  <c r="AA19" i="16" s="1"/>
  <c r="Y20" i="16"/>
  <c r="AA20" i="16" s="1"/>
  <c r="Y21" i="16"/>
  <c r="AA21" i="16" s="1"/>
  <c r="Y22" i="16"/>
  <c r="AA22" i="16" s="1"/>
  <c r="Y23" i="16"/>
  <c r="AA23" i="16" s="1"/>
  <c r="Y24" i="16"/>
  <c r="AA24" i="16" s="1"/>
  <c r="Y25" i="16"/>
  <c r="AA25" i="16" s="1"/>
  <c r="Y26" i="16"/>
  <c r="AA26" i="16" s="1"/>
  <c r="Y27" i="16"/>
  <c r="AA27" i="16"/>
  <c r="Y28" i="16"/>
  <c r="AA28" i="16" s="1"/>
  <c r="Y29" i="16"/>
  <c r="AA29" i="16" s="1"/>
  <c r="Y30" i="16"/>
  <c r="AA30" i="16" s="1"/>
  <c r="Y31" i="16"/>
  <c r="AA31" i="16" s="1"/>
  <c r="Y32" i="16"/>
  <c r="AA32" i="16" s="1"/>
  <c r="Y33" i="16"/>
  <c r="AA33" i="16" s="1"/>
  <c r="Y34" i="16"/>
  <c r="AA34" i="16" s="1"/>
  <c r="Y35" i="16"/>
  <c r="AA35" i="16" s="1"/>
  <c r="Y12" i="16"/>
  <c r="AA12" i="16" s="1"/>
  <c r="W36" i="16"/>
  <c r="X36" i="16"/>
  <c r="J36" i="16"/>
  <c r="F36" i="16"/>
  <c r="K36" i="16"/>
  <c r="E36" i="16"/>
  <c r="C36" i="16"/>
  <c r="D36" i="16"/>
  <c r="H15" i="115"/>
  <c r="H16" i="115"/>
  <c r="H12" i="115"/>
  <c r="G13" i="115"/>
  <c r="G15" i="115"/>
  <c r="G16" i="115"/>
  <c r="G12" i="115"/>
  <c r="I14" i="115"/>
  <c r="G14" i="115" s="1"/>
  <c r="J13" i="115"/>
  <c r="H13" i="115" s="1"/>
  <c r="E27" i="115"/>
  <c r="F27" i="115"/>
  <c r="C27" i="115"/>
  <c r="D27" i="115"/>
  <c r="C16" i="13"/>
  <c r="C17" i="13"/>
  <c r="C19" i="13"/>
  <c r="C24" i="13"/>
  <c r="C25" i="13"/>
  <c r="C27" i="13"/>
  <c r="C33" i="13"/>
  <c r="C35" i="13"/>
  <c r="H13" i="127"/>
  <c r="H14" i="127"/>
  <c r="H15" i="127"/>
  <c r="H16" i="127"/>
  <c r="H17" i="127"/>
  <c r="H18" i="127"/>
  <c r="H19" i="127"/>
  <c r="H20" i="127"/>
  <c r="H21" i="127"/>
  <c r="H22" i="127"/>
  <c r="H23" i="127"/>
  <c r="H24" i="127"/>
  <c r="H25" i="127"/>
  <c r="H26" i="127"/>
  <c r="J26" i="127" s="1"/>
  <c r="H27" i="127"/>
  <c r="H28" i="127"/>
  <c r="H29" i="127"/>
  <c r="H30" i="127"/>
  <c r="H31" i="127"/>
  <c r="H32" i="127"/>
  <c r="H33" i="127"/>
  <c r="H34" i="127"/>
  <c r="H35" i="127"/>
  <c r="H12" i="127"/>
  <c r="H13" i="111"/>
  <c r="H14" i="111"/>
  <c r="J14" i="111" s="1"/>
  <c r="H15" i="111"/>
  <c r="H16" i="111"/>
  <c r="H17" i="111"/>
  <c r="H18" i="111"/>
  <c r="J18" i="111" s="1"/>
  <c r="H19" i="111"/>
  <c r="H20" i="111"/>
  <c r="H21" i="111"/>
  <c r="H22" i="111"/>
  <c r="J22" i="111" s="1"/>
  <c r="H23" i="111"/>
  <c r="H24" i="111"/>
  <c r="H25" i="111"/>
  <c r="H26" i="111"/>
  <c r="J26" i="111" s="1"/>
  <c r="H27" i="111"/>
  <c r="H28" i="111"/>
  <c r="H29" i="111"/>
  <c r="H30" i="111"/>
  <c r="J30" i="111" s="1"/>
  <c r="H31" i="111"/>
  <c r="H32" i="111"/>
  <c r="H33" i="111"/>
  <c r="H34" i="111"/>
  <c r="J34" i="111" s="1"/>
  <c r="H35" i="111"/>
  <c r="H12" i="111"/>
  <c r="D25" i="14"/>
  <c r="D26" i="14" s="1"/>
  <c r="C16" i="14"/>
  <c r="C25" i="14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12" i="13"/>
  <c r="D36" i="13"/>
  <c r="E36" i="13"/>
  <c r="F36" i="13"/>
  <c r="C13" i="13"/>
  <c r="K13" i="13" s="1"/>
  <c r="C14" i="13"/>
  <c r="K14" i="13" s="1"/>
  <c r="C15" i="13"/>
  <c r="C20" i="13"/>
  <c r="C21" i="13"/>
  <c r="C22" i="13"/>
  <c r="C23" i="13"/>
  <c r="C28" i="13"/>
  <c r="C29" i="13"/>
  <c r="C30" i="13"/>
  <c r="C31" i="13"/>
  <c r="C32" i="13"/>
  <c r="E33" i="141"/>
  <c r="G33" i="141"/>
  <c r="L13" i="112"/>
  <c r="L14" i="112"/>
  <c r="L15" i="112"/>
  <c r="L16" i="112"/>
  <c r="L17" i="112"/>
  <c r="L18" i="112"/>
  <c r="L19" i="112"/>
  <c r="L20" i="112"/>
  <c r="L21" i="112"/>
  <c r="L22" i="112"/>
  <c r="L23" i="112"/>
  <c r="L24" i="112"/>
  <c r="L25" i="112"/>
  <c r="L26" i="112"/>
  <c r="L27" i="112"/>
  <c r="L28" i="112"/>
  <c r="L29" i="112"/>
  <c r="L30" i="112"/>
  <c r="L31" i="112"/>
  <c r="L32" i="112"/>
  <c r="L33" i="112"/>
  <c r="L34" i="112"/>
  <c r="L35" i="112"/>
  <c r="L12" i="112"/>
  <c r="L13" i="113"/>
  <c r="L14" i="113"/>
  <c r="L15" i="113"/>
  <c r="L16" i="113"/>
  <c r="L17" i="113"/>
  <c r="L18" i="113"/>
  <c r="L19" i="113"/>
  <c r="L20" i="113"/>
  <c r="L21" i="113"/>
  <c r="L22" i="113"/>
  <c r="L23" i="113"/>
  <c r="L24" i="113"/>
  <c r="L25" i="113"/>
  <c r="L26" i="113"/>
  <c r="L27" i="113"/>
  <c r="L28" i="113"/>
  <c r="L29" i="113"/>
  <c r="L30" i="113"/>
  <c r="L31" i="113"/>
  <c r="L32" i="113"/>
  <c r="L33" i="113"/>
  <c r="L34" i="113"/>
  <c r="L35" i="113"/>
  <c r="L12" i="113"/>
  <c r="C33" i="152"/>
  <c r="D33" i="152"/>
  <c r="E10" i="152"/>
  <c r="F10" i="152"/>
  <c r="G10" i="152" s="1"/>
  <c r="E11" i="152"/>
  <c r="F11" i="152"/>
  <c r="E12" i="152"/>
  <c r="F12" i="152"/>
  <c r="G12" i="152" s="1"/>
  <c r="E13" i="152"/>
  <c r="F13" i="152"/>
  <c r="E14" i="152"/>
  <c r="F14" i="152"/>
  <c r="E15" i="152"/>
  <c r="F15" i="152"/>
  <c r="E16" i="152"/>
  <c r="F16" i="152"/>
  <c r="E17" i="152"/>
  <c r="F17" i="152"/>
  <c r="E18" i="152"/>
  <c r="F18" i="152"/>
  <c r="E19" i="152"/>
  <c r="F19" i="152"/>
  <c r="G19" i="152" s="1"/>
  <c r="E20" i="152"/>
  <c r="F20" i="152"/>
  <c r="G20" i="152" s="1"/>
  <c r="E21" i="152"/>
  <c r="F21" i="152"/>
  <c r="E22" i="152"/>
  <c r="F22" i="152"/>
  <c r="E23" i="152"/>
  <c r="F23" i="152"/>
  <c r="G23" i="152" s="1"/>
  <c r="E24" i="152"/>
  <c r="F24" i="152"/>
  <c r="G24" i="152" s="1"/>
  <c r="E25" i="152"/>
  <c r="F25" i="152"/>
  <c r="E26" i="152"/>
  <c r="F26" i="152"/>
  <c r="E27" i="152"/>
  <c r="F27" i="152"/>
  <c r="G27" i="152" s="1"/>
  <c r="E28" i="152"/>
  <c r="F28" i="152"/>
  <c r="G28" i="152" s="1"/>
  <c r="E29" i="152"/>
  <c r="F29" i="152"/>
  <c r="E30" i="152"/>
  <c r="F30" i="152"/>
  <c r="E31" i="152"/>
  <c r="F31" i="152"/>
  <c r="E32" i="152"/>
  <c r="F32" i="152"/>
  <c r="F9" i="152"/>
  <c r="E9" i="152"/>
  <c r="G9" i="152" s="1"/>
  <c r="E35" i="62"/>
  <c r="G35" i="62"/>
  <c r="H35" i="62"/>
  <c r="I35" i="62"/>
  <c r="K35" i="62"/>
  <c r="L35" i="62"/>
  <c r="M35" i="62"/>
  <c r="N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F23" i="28"/>
  <c r="E23" i="28"/>
  <c r="D23" i="28"/>
  <c r="J23" i="28"/>
  <c r="H23" i="28"/>
  <c r="G23" i="28"/>
  <c r="D23" i="27"/>
  <c r="E23" i="27"/>
  <c r="F23" i="27"/>
  <c r="K22" i="27"/>
  <c r="G22" i="27"/>
  <c r="H22" i="27" s="1"/>
  <c r="K21" i="27"/>
  <c r="G21" i="27"/>
  <c r="H21" i="27" s="1"/>
  <c r="K20" i="27"/>
  <c r="G20" i="27"/>
  <c r="H20" i="27" s="1"/>
  <c r="K19" i="27"/>
  <c r="G19" i="27"/>
  <c r="H19" i="27" s="1"/>
  <c r="I19" i="27" s="1"/>
  <c r="K18" i="27"/>
  <c r="G18" i="27"/>
  <c r="H18" i="27" s="1"/>
  <c r="I18" i="27" s="1"/>
  <c r="K17" i="27"/>
  <c r="G17" i="27"/>
  <c r="H17" i="27" s="1"/>
  <c r="K16" i="27"/>
  <c r="G16" i="27"/>
  <c r="H16" i="27" s="1"/>
  <c r="K15" i="27"/>
  <c r="G15" i="27"/>
  <c r="H15" i="27" s="1"/>
  <c r="K14" i="27"/>
  <c r="G14" i="27"/>
  <c r="H14" i="27" s="1"/>
  <c r="J14" i="27" s="1"/>
  <c r="K13" i="27"/>
  <c r="G13" i="27"/>
  <c r="H13" i="27" s="1"/>
  <c r="K12" i="27"/>
  <c r="G12" i="27"/>
  <c r="H12" i="27" s="1"/>
  <c r="I12" i="27" s="1"/>
  <c r="K11" i="27"/>
  <c r="G11" i="27"/>
  <c r="H11" i="27" s="1"/>
  <c r="G15" i="86"/>
  <c r="J15" i="86" s="1"/>
  <c r="G16" i="86"/>
  <c r="J16" i="86" s="1"/>
  <c r="G17" i="86"/>
  <c r="G18" i="86"/>
  <c r="J18" i="86" s="1"/>
  <c r="G20" i="86"/>
  <c r="J20" i="86" s="1"/>
  <c r="G21" i="86"/>
  <c r="J21" i="86" s="1"/>
  <c r="G22" i="86"/>
  <c r="J22" i="86" s="1"/>
  <c r="G23" i="86"/>
  <c r="G24" i="86"/>
  <c r="J24" i="86" s="1"/>
  <c r="G25" i="86"/>
  <c r="G26" i="86"/>
  <c r="J26" i="86" s="1"/>
  <c r="G27" i="86"/>
  <c r="G28" i="86"/>
  <c r="J28" i="86" s="1"/>
  <c r="G29" i="86"/>
  <c r="G30" i="86"/>
  <c r="J30" i="86" s="1"/>
  <c r="G31" i="86"/>
  <c r="J31" i="86" s="1"/>
  <c r="G32" i="86"/>
  <c r="J32" i="86" s="1"/>
  <c r="G33" i="86"/>
  <c r="G34" i="86"/>
  <c r="J34" i="86" s="1"/>
  <c r="G35" i="86"/>
  <c r="J35" i="86" s="1"/>
  <c r="G36" i="86"/>
  <c r="J36" i="86" s="1"/>
  <c r="G37" i="86"/>
  <c r="G14" i="86"/>
  <c r="K19" i="86"/>
  <c r="K21" i="86"/>
  <c r="K22" i="86"/>
  <c r="J23" i="86"/>
  <c r="K24" i="86"/>
  <c r="K25" i="86"/>
  <c r="K27" i="86"/>
  <c r="K29" i="86"/>
  <c r="K34" i="86"/>
  <c r="K35" i="86"/>
  <c r="K37" i="86"/>
  <c r="K14" i="86"/>
  <c r="D38" i="86"/>
  <c r="E38" i="86"/>
  <c r="L38" i="86"/>
  <c r="M38" i="86"/>
  <c r="C15" i="86"/>
  <c r="O15" i="86" s="1"/>
  <c r="C16" i="86"/>
  <c r="O16" i="86" s="1"/>
  <c r="C17" i="86"/>
  <c r="C18" i="86"/>
  <c r="O18" i="86" s="1"/>
  <c r="C19" i="86"/>
  <c r="O19" i="86" s="1"/>
  <c r="C21" i="86"/>
  <c r="O21" i="86" s="1"/>
  <c r="C22" i="86"/>
  <c r="O22" i="86" s="1"/>
  <c r="C23" i="86"/>
  <c r="O23" i="86" s="1"/>
  <c r="C24" i="86"/>
  <c r="O24" i="86" s="1"/>
  <c r="C25" i="86"/>
  <c r="O25" i="86" s="1"/>
  <c r="C26" i="86"/>
  <c r="O26" i="86" s="1"/>
  <c r="C27" i="86"/>
  <c r="O27" i="86" s="1"/>
  <c r="C29" i="86"/>
  <c r="O29" i="86" s="1"/>
  <c r="C30" i="86"/>
  <c r="O30" i="86" s="1"/>
  <c r="C31" i="86"/>
  <c r="O31" i="86" s="1"/>
  <c r="C32" i="86"/>
  <c r="O32" i="86" s="1"/>
  <c r="C33" i="86"/>
  <c r="O33" i="86" s="1"/>
  <c r="C34" i="86"/>
  <c r="O34" i="86" s="1"/>
  <c r="C35" i="86"/>
  <c r="O35" i="86" s="1"/>
  <c r="C37" i="86"/>
  <c r="O37" i="86" s="1"/>
  <c r="C14" i="86"/>
  <c r="O14" i="86" s="1"/>
  <c r="K14" i="75"/>
  <c r="K15" i="75"/>
  <c r="K16" i="75"/>
  <c r="K17" i="75"/>
  <c r="K18" i="75"/>
  <c r="K19" i="75"/>
  <c r="K20" i="75"/>
  <c r="K21" i="75"/>
  <c r="K22" i="75"/>
  <c r="K23" i="75"/>
  <c r="K24" i="75"/>
  <c r="K25" i="75"/>
  <c r="K26" i="75"/>
  <c r="K27" i="75"/>
  <c r="K28" i="75"/>
  <c r="K29" i="75"/>
  <c r="K30" i="75"/>
  <c r="K31" i="75"/>
  <c r="K32" i="75"/>
  <c r="K33" i="75"/>
  <c r="K34" i="75"/>
  <c r="K35" i="75"/>
  <c r="K36" i="75"/>
  <c r="K13" i="75"/>
  <c r="J12" i="47"/>
  <c r="J13" i="47"/>
  <c r="J14" i="47"/>
  <c r="J15" i="47"/>
  <c r="J16" i="47"/>
  <c r="J17" i="47"/>
  <c r="J19" i="47"/>
  <c r="J20" i="47"/>
  <c r="J23" i="47"/>
  <c r="J24" i="47"/>
  <c r="J25" i="47"/>
  <c r="J26" i="47"/>
  <c r="J27" i="47"/>
  <c r="J28" i="47"/>
  <c r="J30" i="47"/>
  <c r="J31" i="47"/>
  <c r="J33" i="47"/>
  <c r="J34" i="47"/>
  <c r="Q12" i="47"/>
  <c r="G13" i="74" s="1"/>
  <c r="Q13" i="47"/>
  <c r="G14" i="74" s="1"/>
  <c r="Q14" i="47"/>
  <c r="Q15" i="47"/>
  <c r="G16" i="74" s="1"/>
  <c r="Q16" i="47"/>
  <c r="G17" i="74" s="1"/>
  <c r="Q17" i="47"/>
  <c r="G18" i="74" s="1"/>
  <c r="Q18" i="47"/>
  <c r="G19" i="74" s="1"/>
  <c r="Q19" i="47"/>
  <c r="G20" i="74"/>
  <c r="Q20" i="47"/>
  <c r="G21" i="74" s="1"/>
  <c r="Q21" i="47"/>
  <c r="G22" i="74" s="1"/>
  <c r="Q22" i="47"/>
  <c r="G23" i="74" s="1"/>
  <c r="Q23" i="47"/>
  <c r="G24" i="74" s="1"/>
  <c r="Q24" i="47"/>
  <c r="G25" i="74" s="1"/>
  <c r="Q25" i="47"/>
  <c r="G26" i="74" s="1"/>
  <c r="Q26" i="47"/>
  <c r="G27" i="74" s="1"/>
  <c r="Q27" i="47"/>
  <c r="G28" i="74" s="1"/>
  <c r="Q28" i="47"/>
  <c r="G29" i="74" s="1"/>
  <c r="Q29" i="47"/>
  <c r="G30" i="74" s="1"/>
  <c r="Q30" i="47"/>
  <c r="G31" i="74" s="1"/>
  <c r="Q31" i="47"/>
  <c r="G32" i="74" s="1"/>
  <c r="Q32" i="47"/>
  <c r="G33" i="74" s="1"/>
  <c r="Q33" i="47"/>
  <c r="G34" i="74" s="1"/>
  <c r="Q34" i="47"/>
  <c r="G35" i="74" s="1"/>
  <c r="Q11" i="47"/>
  <c r="Q12" i="60"/>
  <c r="Q13" i="60"/>
  <c r="Q14" i="60"/>
  <c r="Q15" i="60"/>
  <c r="Q16" i="60"/>
  <c r="Q17" i="60"/>
  <c r="Q18" i="60"/>
  <c r="Q19" i="60"/>
  <c r="J20" i="4" s="1"/>
  <c r="Q20" i="60"/>
  <c r="Q21" i="60"/>
  <c r="Q22" i="60"/>
  <c r="Q23" i="60"/>
  <c r="J24" i="4"/>
  <c r="Q24" i="60"/>
  <c r="Q25" i="60"/>
  <c r="Q26" i="60"/>
  <c r="Q27" i="60"/>
  <c r="Q28" i="60"/>
  <c r="Q29" i="60"/>
  <c r="Q30" i="60"/>
  <c r="Q31" i="60"/>
  <c r="Q32" i="60"/>
  <c r="Q33" i="60"/>
  <c r="Q34" i="60"/>
  <c r="Q11" i="60"/>
  <c r="F35" i="121"/>
  <c r="G35" i="121"/>
  <c r="I35" i="121"/>
  <c r="D35" i="121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35" i="75"/>
  <c r="H36" i="75"/>
  <c r="H13" i="75"/>
  <c r="D14" i="75"/>
  <c r="D15" i="75"/>
  <c r="D16" i="75"/>
  <c r="D37" i="75" s="1"/>
  <c r="D17" i="75"/>
  <c r="D18" i="75"/>
  <c r="D19" i="75"/>
  <c r="D20" i="75"/>
  <c r="D21" i="75"/>
  <c r="D22" i="75"/>
  <c r="D23" i="75"/>
  <c r="D24" i="75"/>
  <c r="D25" i="75"/>
  <c r="D26" i="75"/>
  <c r="D27" i="75"/>
  <c r="D28" i="75"/>
  <c r="D29" i="75"/>
  <c r="D30" i="75"/>
  <c r="D31" i="75"/>
  <c r="D32" i="75"/>
  <c r="D33" i="75"/>
  <c r="D34" i="75"/>
  <c r="D35" i="75"/>
  <c r="D36" i="75"/>
  <c r="D13" i="75"/>
  <c r="C14" i="75"/>
  <c r="C15" i="75"/>
  <c r="C16" i="75"/>
  <c r="E16" i="75" s="1"/>
  <c r="C17" i="75"/>
  <c r="C18" i="75"/>
  <c r="E18" i="75" s="1"/>
  <c r="C19" i="75"/>
  <c r="E19" i="75" s="1"/>
  <c r="C20" i="75"/>
  <c r="E20" i="75" s="1"/>
  <c r="C21" i="75"/>
  <c r="E21" i="75" s="1"/>
  <c r="C22" i="75"/>
  <c r="E22" i="75" s="1"/>
  <c r="C23" i="75"/>
  <c r="C24" i="75"/>
  <c r="C25" i="75"/>
  <c r="E25" i="75" s="1"/>
  <c r="C26" i="75"/>
  <c r="E26" i="75" s="1"/>
  <c r="C27" i="75"/>
  <c r="E27" i="75" s="1"/>
  <c r="C28" i="75"/>
  <c r="E28" i="75" s="1"/>
  <c r="C29" i="75"/>
  <c r="E29" i="75" s="1"/>
  <c r="C30" i="75"/>
  <c r="C31" i="75"/>
  <c r="C32" i="75"/>
  <c r="E32" i="75" s="1"/>
  <c r="C33" i="75"/>
  <c r="E33" i="75" s="1"/>
  <c r="C34" i="75"/>
  <c r="E34" i="75" s="1"/>
  <c r="C35" i="75"/>
  <c r="E35" i="75" s="1"/>
  <c r="C36" i="75"/>
  <c r="E36" i="75" s="1"/>
  <c r="C13" i="75"/>
  <c r="E14" i="75"/>
  <c r="E15" i="75"/>
  <c r="E31" i="75"/>
  <c r="E13" i="75"/>
  <c r="F37" i="75"/>
  <c r="G37" i="75"/>
  <c r="G45" i="7" s="1"/>
  <c r="I37" i="75"/>
  <c r="J37" i="75"/>
  <c r="D36" i="101"/>
  <c r="E36" i="101"/>
  <c r="F36" i="101"/>
  <c r="G36" i="101"/>
  <c r="H36" i="101"/>
  <c r="I36" i="101"/>
  <c r="J36" i="101"/>
  <c r="K36" i="101"/>
  <c r="L36" i="101"/>
  <c r="M36" i="101"/>
  <c r="C36" i="101"/>
  <c r="G15" i="74"/>
  <c r="D36" i="74"/>
  <c r="E36" i="74"/>
  <c r="H36" i="74"/>
  <c r="L36" i="74"/>
  <c r="C36" i="74"/>
  <c r="D36" i="5"/>
  <c r="J13" i="111"/>
  <c r="J15" i="111"/>
  <c r="J17" i="111"/>
  <c r="J19" i="111"/>
  <c r="J21" i="111"/>
  <c r="J23" i="111"/>
  <c r="J25" i="111"/>
  <c r="J27" i="111"/>
  <c r="J29" i="111"/>
  <c r="J31" i="111"/>
  <c r="J33" i="111"/>
  <c r="J35" i="111"/>
  <c r="M35" i="47"/>
  <c r="N35" i="47"/>
  <c r="P35" i="47"/>
  <c r="H12" i="47"/>
  <c r="I12" i="47"/>
  <c r="K12" i="47"/>
  <c r="H13" i="47"/>
  <c r="I13" i="47"/>
  <c r="K13" i="47"/>
  <c r="H14" i="47"/>
  <c r="I14" i="47"/>
  <c r="K14" i="47"/>
  <c r="H15" i="47"/>
  <c r="I15" i="47"/>
  <c r="K15" i="47"/>
  <c r="H16" i="47"/>
  <c r="I16" i="47"/>
  <c r="K16" i="47"/>
  <c r="H17" i="47"/>
  <c r="I17" i="47"/>
  <c r="K17" i="47"/>
  <c r="H18" i="47"/>
  <c r="I18" i="47"/>
  <c r="K18" i="47"/>
  <c r="H19" i="47"/>
  <c r="I19" i="47"/>
  <c r="K19" i="47"/>
  <c r="H20" i="47"/>
  <c r="I20" i="47"/>
  <c r="K20" i="47"/>
  <c r="H21" i="47"/>
  <c r="I21" i="47"/>
  <c r="K21" i="47"/>
  <c r="H22" i="47"/>
  <c r="I22" i="47"/>
  <c r="K22" i="47"/>
  <c r="H23" i="47"/>
  <c r="I23" i="47"/>
  <c r="K23" i="47"/>
  <c r="H24" i="47"/>
  <c r="I24" i="47"/>
  <c r="K24" i="47"/>
  <c r="H25" i="47"/>
  <c r="I25" i="47"/>
  <c r="K25" i="47"/>
  <c r="H26" i="47"/>
  <c r="I26" i="47"/>
  <c r="K26" i="47"/>
  <c r="H27" i="47"/>
  <c r="I27" i="47"/>
  <c r="K27" i="47"/>
  <c r="H28" i="47"/>
  <c r="I28" i="47"/>
  <c r="K28" i="47"/>
  <c r="H29" i="47"/>
  <c r="I29" i="47"/>
  <c r="K29" i="47"/>
  <c r="H30" i="47"/>
  <c r="I30" i="47"/>
  <c r="K30" i="47"/>
  <c r="H31" i="47"/>
  <c r="I31" i="47"/>
  <c r="K31" i="47"/>
  <c r="H32" i="47"/>
  <c r="I32" i="47"/>
  <c r="K32" i="47"/>
  <c r="H33" i="47"/>
  <c r="I33" i="47"/>
  <c r="K33" i="47"/>
  <c r="H34" i="47"/>
  <c r="I34" i="47"/>
  <c r="K34" i="47"/>
  <c r="K11" i="47"/>
  <c r="I11" i="47"/>
  <c r="H11" i="47"/>
  <c r="I11" i="60"/>
  <c r="H12" i="60"/>
  <c r="I12" i="60"/>
  <c r="K12" i="60"/>
  <c r="K35" i="60" s="1"/>
  <c r="H13" i="60"/>
  <c r="I13" i="60"/>
  <c r="K13" i="60"/>
  <c r="H14" i="60"/>
  <c r="I14" i="60"/>
  <c r="K14" i="60"/>
  <c r="H15" i="60"/>
  <c r="I15" i="60"/>
  <c r="K15" i="60"/>
  <c r="H16" i="60"/>
  <c r="I16" i="60"/>
  <c r="K16" i="60"/>
  <c r="H17" i="60"/>
  <c r="I17" i="60"/>
  <c r="K17" i="60"/>
  <c r="H18" i="60"/>
  <c r="I18" i="60"/>
  <c r="K18" i="60"/>
  <c r="H19" i="60"/>
  <c r="I19" i="60"/>
  <c r="K19" i="60"/>
  <c r="H20" i="60"/>
  <c r="I20" i="60"/>
  <c r="K20" i="60"/>
  <c r="L20" i="60" s="1"/>
  <c r="H21" i="60"/>
  <c r="I21" i="60"/>
  <c r="K21" i="60"/>
  <c r="H22" i="60"/>
  <c r="I22" i="60"/>
  <c r="K22" i="60"/>
  <c r="H23" i="60"/>
  <c r="I23" i="60"/>
  <c r="K23" i="60"/>
  <c r="H24" i="60"/>
  <c r="I24" i="60"/>
  <c r="K24" i="60"/>
  <c r="H25" i="60"/>
  <c r="L25" i="60" s="1"/>
  <c r="I25" i="60"/>
  <c r="K25" i="60"/>
  <c r="H26" i="60"/>
  <c r="I26" i="60"/>
  <c r="K26" i="60"/>
  <c r="H27" i="60"/>
  <c r="I27" i="60"/>
  <c r="K27" i="60"/>
  <c r="H28" i="60"/>
  <c r="I28" i="60"/>
  <c r="K28" i="60"/>
  <c r="H29" i="60"/>
  <c r="I29" i="60"/>
  <c r="K29" i="60"/>
  <c r="H30" i="60"/>
  <c r="I30" i="60"/>
  <c r="K30" i="60"/>
  <c r="H31" i="60"/>
  <c r="I31" i="60"/>
  <c r="K31" i="60"/>
  <c r="H32" i="60"/>
  <c r="I32" i="60"/>
  <c r="K32" i="60"/>
  <c r="H33" i="60"/>
  <c r="I33" i="60"/>
  <c r="K33" i="60"/>
  <c r="H34" i="60"/>
  <c r="I34" i="60"/>
  <c r="K34" i="60"/>
  <c r="K11" i="60"/>
  <c r="J35" i="60"/>
  <c r="H11" i="60"/>
  <c r="G13" i="127"/>
  <c r="G14" i="127"/>
  <c r="G15" i="127"/>
  <c r="G16" i="127"/>
  <c r="G17" i="127"/>
  <c r="G18" i="127"/>
  <c r="G19" i="127"/>
  <c r="G20" i="127"/>
  <c r="G21" i="127"/>
  <c r="G22" i="127"/>
  <c r="G23" i="127"/>
  <c r="G24" i="127"/>
  <c r="G25" i="127"/>
  <c r="G26" i="127"/>
  <c r="G27" i="127"/>
  <c r="G28" i="127"/>
  <c r="G29" i="127"/>
  <c r="G30" i="127"/>
  <c r="G31" i="127"/>
  <c r="G32" i="127"/>
  <c r="G33" i="127"/>
  <c r="G34" i="127"/>
  <c r="G35" i="127"/>
  <c r="G12" i="127"/>
  <c r="G24" i="111"/>
  <c r="G32" i="111"/>
  <c r="J15" i="127"/>
  <c r="J16" i="127"/>
  <c r="J19" i="127"/>
  <c r="J20" i="127"/>
  <c r="J23" i="127"/>
  <c r="J24" i="127"/>
  <c r="J25" i="127"/>
  <c r="J27" i="127"/>
  <c r="J28" i="127"/>
  <c r="J31" i="127"/>
  <c r="J32" i="127"/>
  <c r="J35" i="127"/>
  <c r="C36" i="127"/>
  <c r="C36" i="111"/>
  <c r="J32" i="4"/>
  <c r="J35" i="4"/>
  <c r="J26" i="4"/>
  <c r="F13" i="127"/>
  <c r="F14" i="127"/>
  <c r="F15" i="127"/>
  <c r="F16" i="127"/>
  <c r="F17" i="127"/>
  <c r="F18" i="127"/>
  <c r="F19" i="127"/>
  <c r="F20" i="127"/>
  <c r="F21" i="127"/>
  <c r="F22" i="127"/>
  <c r="F23" i="127"/>
  <c r="F24" i="127"/>
  <c r="F25" i="127"/>
  <c r="F26" i="127"/>
  <c r="F27" i="127"/>
  <c r="F28" i="127"/>
  <c r="F29" i="127"/>
  <c r="F30" i="127"/>
  <c r="F31" i="127"/>
  <c r="F32" i="127"/>
  <c r="F33" i="127"/>
  <c r="F34" i="127"/>
  <c r="F35" i="127"/>
  <c r="F12" i="127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35" i="111"/>
  <c r="F12" i="11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12" i="4"/>
  <c r="D36" i="127"/>
  <c r="D36" i="111"/>
  <c r="D36" i="4"/>
  <c r="D13" i="56"/>
  <c r="F13" i="56"/>
  <c r="H13" i="56"/>
  <c r="J13" i="56"/>
  <c r="B13" i="56"/>
  <c r="L12" i="56"/>
  <c r="L11" i="56"/>
  <c r="C35" i="47"/>
  <c r="D35" i="47"/>
  <c r="E35" i="47"/>
  <c r="F35" i="47"/>
  <c r="G12" i="47"/>
  <c r="G12" i="65" s="1"/>
  <c r="G13" i="47"/>
  <c r="G13" i="65" s="1"/>
  <c r="G14" i="47"/>
  <c r="G14" i="65" s="1"/>
  <c r="G15" i="47"/>
  <c r="G15" i="65" s="1"/>
  <c r="G16" i="47"/>
  <c r="G17" i="47"/>
  <c r="G17" i="65" s="1"/>
  <c r="G18" i="47"/>
  <c r="G18" i="65" s="1"/>
  <c r="G19" i="47"/>
  <c r="G20" i="47"/>
  <c r="G20" i="65" s="1"/>
  <c r="G21" i="47"/>
  <c r="G21" i="65" s="1"/>
  <c r="G22" i="47"/>
  <c r="G22" i="65" s="1"/>
  <c r="G23" i="47"/>
  <c r="G23" i="65" s="1"/>
  <c r="G24" i="47"/>
  <c r="G24" i="65" s="1"/>
  <c r="G25" i="47"/>
  <c r="G25" i="65" s="1"/>
  <c r="G26" i="47"/>
  <c r="G26" i="65" s="1"/>
  <c r="G27" i="47"/>
  <c r="G27" i="65" s="1"/>
  <c r="G28" i="47"/>
  <c r="G28" i="65" s="1"/>
  <c r="G29" i="47"/>
  <c r="G29" i="65" s="1"/>
  <c r="G30" i="47"/>
  <c r="G30" i="65" s="1"/>
  <c r="G31" i="47"/>
  <c r="G31" i="65" s="1"/>
  <c r="G32" i="47"/>
  <c r="G32" i="65" s="1"/>
  <c r="G33" i="47"/>
  <c r="G34" i="47"/>
  <c r="G34" i="65" s="1"/>
  <c r="G11" i="47"/>
  <c r="M35" i="60"/>
  <c r="N35" i="60"/>
  <c r="P35" i="60"/>
  <c r="G12" i="60"/>
  <c r="G13" i="60"/>
  <c r="C13" i="65" s="1"/>
  <c r="G14" i="60"/>
  <c r="G15" i="60"/>
  <c r="G16" i="60"/>
  <c r="C16" i="65" s="1"/>
  <c r="G17" i="60"/>
  <c r="C17" i="65" s="1"/>
  <c r="G18" i="60"/>
  <c r="C18" i="65" s="1"/>
  <c r="G19" i="60"/>
  <c r="C19" i="65" s="1"/>
  <c r="G20" i="60"/>
  <c r="C18" i="141" s="1"/>
  <c r="F18" i="141" s="1"/>
  <c r="G22" i="60"/>
  <c r="G23" i="60"/>
  <c r="C23" i="65" s="1"/>
  <c r="G24" i="60"/>
  <c r="C22" i="141" s="1"/>
  <c r="F22" i="141" s="1"/>
  <c r="G25" i="60"/>
  <c r="G26" i="60"/>
  <c r="G28" i="60"/>
  <c r="C26" i="141" s="1"/>
  <c r="F26" i="141" s="1"/>
  <c r="G29" i="60"/>
  <c r="C29" i="65" s="1"/>
  <c r="G30" i="60"/>
  <c r="C30" i="65" s="1"/>
  <c r="G32" i="60"/>
  <c r="C32" i="65" s="1"/>
  <c r="G33" i="60"/>
  <c r="C33" i="65" s="1"/>
  <c r="G34" i="60"/>
  <c r="C34" i="65" s="1"/>
  <c r="G11" i="60"/>
  <c r="C11" i="65" s="1"/>
  <c r="D35" i="60"/>
  <c r="E35" i="60"/>
  <c r="F35" i="60"/>
  <c r="C31" i="60"/>
  <c r="G31" i="60" s="1"/>
  <c r="C27" i="60"/>
  <c r="G27" i="60" s="1"/>
  <c r="C21" i="60"/>
  <c r="G21" i="60" s="1"/>
  <c r="C19" i="141" s="1"/>
  <c r="F19" i="141" s="1"/>
  <c r="C47" i="56"/>
  <c r="C48" i="56" s="1"/>
  <c r="E47" i="56"/>
  <c r="E48" i="56" s="1"/>
  <c r="F47" i="56"/>
  <c r="F48" i="56" s="1"/>
  <c r="B47" i="56"/>
  <c r="B48" i="56" s="1"/>
  <c r="Q45" i="56"/>
  <c r="G45" i="56"/>
  <c r="D45" i="56"/>
  <c r="Q44" i="56"/>
  <c r="N44" i="56"/>
  <c r="G44" i="56"/>
  <c r="G47" i="56" s="1"/>
  <c r="D44" i="56"/>
  <c r="D47" i="56" s="1"/>
  <c r="D48" i="56" s="1"/>
  <c r="G32" i="56"/>
  <c r="I32" i="56"/>
  <c r="K32" i="56"/>
  <c r="M32" i="56"/>
  <c r="O32" i="56"/>
  <c r="Q32" i="56"/>
  <c r="S32" i="56"/>
  <c r="E32" i="56"/>
  <c r="S24" i="96"/>
  <c r="T24" i="96"/>
  <c r="U24" i="96"/>
  <c r="S25" i="96"/>
  <c r="T25" i="96"/>
  <c r="U25" i="96"/>
  <c r="T23" i="96"/>
  <c r="U23" i="96"/>
  <c r="S23" i="96"/>
  <c r="R24" i="96"/>
  <c r="R25" i="96"/>
  <c r="V25" i="96" s="1"/>
  <c r="R23" i="96"/>
  <c r="N24" i="96"/>
  <c r="N25" i="96"/>
  <c r="N23" i="96"/>
  <c r="J24" i="96"/>
  <c r="J25" i="96"/>
  <c r="J23" i="96"/>
  <c r="F24" i="96"/>
  <c r="F25" i="96"/>
  <c r="F23" i="96"/>
  <c r="D26" i="96"/>
  <c r="E26" i="96"/>
  <c r="G26" i="96"/>
  <c r="H26" i="96"/>
  <c r="I26" i="96"/>
  <c r="K26" i="96"/>
  <c r="L26" i="96"/>
  <c r="M26" i="96"/>
  <c r="O26" i="96"/>
  <c r="P26" i="96"/>
  <c r="Q26" i="96"/>
  <c r="C26" i="96"/>
  <c r="E20" i="96"/>
  <c r="E16" i="96"/>
  <c r="U16" i="96" s="1"/>
  <c r="D20" i="96"/>
  <c r="D16" i="96"/>
  <c r="D21" i="96" s="1"/>
  <c r="C20" i="96"/>
  <c r="F20" i="96" s="1"/>
  <c r="C16" i="96"/>
  <c r="M16" i="96"/>
  <c r="Q16" i="96" s="1"/>
  <c r="L16" i="96"/>
  <c r="L21" i="96" s="1"/>
  <c r="L27" i="96" s="1"/>
  <c r="K16" i="96"/>
  <c r="O16" i="96" s="1"/>
  <c r="S16" i="96" s="1"/>
  <c r="H21" i="96"/>
  <c r="I21" i="96"/>
  <c r="G21" i="96"/>
  <c r="G27" i="96" s="1"/>
  <c r="P20" i="96"/>
  <c r="Q20" i="96"/>
  <c r="O20" i="96"/>
  <c r="N20" i="96"/>
  <c r="J20" i="96"/>
  <c r="J16" i="96"/>
  <c r="C23" i="28"/>
  <c r="C23" i="27"/>
  <c r="N45" i="56"/>
  <c r="K21" i="96"/>
  <c r="K27" i="96" s="1"/>
  <c r="J12" i="4"/>
  <c r="Q12" i="16"/>
  <c r="R12" i="16" s="1"/>
  <c r="P21" i="16"/>
  <c r="Q21" i="16" s="1"/>
  <c r="AC36" i="16"/>
  <c r="I36" i="16"/>
  <c r="C36" i="5"/>
  <c r="C12" i="13"/>
  <c r="G16" i="14"/>
  <c r="G26" i="14" s="1"/>
  <c r="H16" i="14"/>
  <c r="J16" i="111"/>
  <c r="J32" i="111"/>
  <c r="J24" i="111"/>
  <c r="F13" i="153"/>
  <c r="F16" i="153"/>
  <c r="F17" i="153"/>
  <c r="F19" i="153"/>
  <c r="F29" i="153"/>
  <c r="F32" i="153"/>
  <c r="F33" i="153"/>
  <c r="F34" i="153"/>
  <c r="C13" i="66"/>
  <c r="D13" i="66" s="1"/>
  <c r="M16" i="58"/>
  <c r="M14" i="59"/>
  <c r="C29" i="66"/>
  <c r="D29" i="66" s="1"/>
  <c r="M17" i="59"/>
  <c r="G26" i="111"/>
  <c r="M12" i="58"/>
  <c r="M27" i="58"/>
  <c r="G16" i="111"/>
  <c r="M14" i="1"/>
  <c r="C30" i="66"/>
  <c r="D30" i="66" s="1"/>
  <c r="Q21" i="96"/>
  <c r="Q27" i="96" s="1"/>
  <c r="J30" i="4"/>
  <c r="C27" i="65"/>
  <c r="I23" i="28"/>
  <c r="J16" i="27"/>
  <c r="I16" i="27"/>
  <c r="N12" i="153"/>
  <c r="M28" i="88"/>
  <c r="C31" i="65"/>
  <c r="C22" i="65"/>
  <c r="C20" i="141"/>
  <c r="F20" i="141" s="1"/>
  <c r="J25" i="4"/>
  <c r="C12" i="65"/>
  <c r="G36" i="4"/>
  <c r="C11" i="141"/>
  <c r="F11" i="141" s="1"/>
  <c r="U33" i="88"/>
  <c r="V33" i="88" s="1"/>
  <c r="AA32" i="114"/>
  <c r="U17" i="88"/>
  <c r="V17" i="88" s="1"/>
  <c r="C30" i="141"/>
  <c r="F30" i="141" s="1"/>
  <c r="D30" i="142"/>
  <c r="E32" i="142"/>
  <c r="C15" i="65"/>
  <c r="J15" i="27"/>
  <c r="J19" i="27"/>
  <c r="I27" i="115"/>
  <c r="J14" i="115"/>
  <c r="H14" i="115" s="1"/>
  <c r="AI28" i="16"/>
  <c r="AA13" i="114"/>
  <c r="U14" i="88"/>
  <c r="V14" i="88" s="1"/>
  <c r="U30" i="88"/>
  <c r="V30" i="88" s="1"/>
  <c r="E30" i="88"/>
  <c r="U22" i="88"/>
  <c r="V22" i="88" s="1"/>
  <c r="E14" i="88"/>
  <c r="J12" i="117"/>
  <c r="U20" i="153"/>
  <c r="U29" i="153"/>
  <c r="U33" i="153"/>
  <c r="M32" i="88"/>
  <c r="I36" i="153"/>
  <c r="T18" i="153"/>
  <c r="R18" i="153"/>
  <c r="G32" i="152"/>
  <c r="G16" i="152"/>
  <c r="M25" i="1"/>
  <c r="C22" i="100"/>
  <c r="F22" i="100" s="1"/>
  <c r="G31" i="152"/>
  <c r="G15" i="152"/>
  <c r="R14" i="153"/>
  <c r="U19" i="153"/>
  <c r="R25" i="153"/>
  <c r="R33" i="153"/>
  <c r="U34" i="88"/>
  <c r="V34" i="88" s="1"/>
  <c r="U26" i="88"/>
  <c r="V26" i="88" s="1"/>
  <c r="E24" i="88"/>
  <c r="E16" i="88"/>
  <c r="U35" i="88"/>
  <c r="V35" i="88" s="1"/>
  <c r="U31" i="88"/>
  <c r="V31" i="88" s="1"/>
  <c r="U27" i="88"/>
  <c r="V27" i="88" s="1"/>
  <c r="U23" i="88"/>
  <c r="V23" i="88" s="1"/>
  <c r="U19" i="88"/>
  <c r="V19" i="88" s="1"/>
  <c r="T22" i="153"/>
  <c r="T24" i="153"/>
  <c r="T28" i="153"/>
  <c r="T32" i="153"/>
  <c r="E31" i="88"/>
  <c r="E23" i="88"/>
  <c r="M15" i="59"/>
  <c r="D25" i="100"/>
  <c r="M27" i="59"/>
  <c r="E37" i="88"/>
  <c r="AA36" i="114"/>
  <c r="AA28" i="114"/>
  <c r="M17" i="58"/>
  <c r="M24" i="58"/>
  <c r="E22" i="100"/>
  <c r="F33" i="62"/>
  <c r="F25" i="62"/>
  <c r="T25" i="153"/>
  <c r="E35" i="88"/>
  <c r="E27" i="88"/>
  <c r="E19" i="88"/>
  <c r="C16" i="100"/>
  <c r="E16" i="100"/>
  <c r="M18" i="58"/>
  <c r="C30" i="100"/>
  <c r="M23" i="58"/>
  <c r="E21" i="100"/>
  <c r="E13" i="100"/>
  <c r="D17" i="100"/>
  <c r="M19" i="59"/>
  <c r="F30" i="66"/>
  <c r="M21" i="1"/>
  <c r="C18" i="100"/>
  <c r="E20" i="100"/>
  <c r="F20" i="100" s="1"/>
  <c r="E12" i="66"/>
  <c r="F12" i="66" s="1"/>
  <c r="C12" i="100"/>
  <c r="M26" i="59"/>
  <c r="D29" i="100"/>
  <c r="M22" i="1"/>
  <c r="C26" i="100"/>
  <c r="C18" i="66"/>
  <c r="D18" i="66" s="1"/>
  <c r="L38" i="88"/>
  <c r="M17" i="88"/>
  <c r="M35" i="88"/>
  <c r="M23" i="88"/>
  <c r="M26" i="88"/>
  <c r="M36" i="88"/>
  <c r="M22" i="88"/>
  <c r="M29" i="88"/>
  <c r="M19" i="88"/>
  <c r="M30" i="88"/>
  <c r="M37" i="88"/>
  <c r="M24" i="88"/>
  <c r="M16" i="88"/>
  <c r="M18" i="88"/>
  <c r="M20" i="88"/>
  <c r="J27" i="115"/>
  <c r="M15" i="88"/>
  <c r="M34" i="88"/>
  <c r="M21" i="88"/>
  <c r="M31" i="88"/>
  <c r="M27" i="88"/>
  <c r="M33" i="88"/>
  <c r="M14" i="88"/>
  <c r="K38" i="88"/>
  <c r="M25" i="88"/>
  <c r="D33" i="141"/>
  <c r="D51" i="7" l="1"/>
  <c r="D45" i="7"/>
  <c r="C21" i="142"/>
  <c r="C23" i="103"/>
  <c r="P24" i="103" s="1"/>
  <c r="N33" i="88"/>
  <c r="Z32" i="114" s="1"/>
  <c r="O33" i="88"/>
  <c r="R33" i="88" s="1"/>
  <c r="N17" i="88"/>
  <c r="Z16" i="114" s="1"/>
  <c r="O17" i="88"/>
  <c r="R17" i="88" s="1"/>
  <c r="E25" i="88"/>
  <c r="G30" i="111"/>
  <c r="G29" i="152"/>
  <c r="G25" i="152"/>
  <c r="L35" i="7"/>
  <c r="M35" i="7"/>
  <c r="P35" i="7" s="1"/>
  <c r="M31" i="7"/>
  <c r="P31" i="7" s="1"/>
  <c r="L31" i="7"/>
  <c r="M27" i="7"/>
  <c r="P27" i="7" s="1"/>
  <c r="L27" i="7"/>
  <c r="M23" i="7"/>
  <c r="P23" i="7" s="1"/>
  <c r="L23" i="7"/>
  <c r="L19" i="7"/>
  <c r="M19" i="7"/>
  <c r="P19" i="7" s="1"/>
  <c r="M15" i="7"/>
  <c r="P15" i="7" s="1"/>
  <c r="L15" i="7"/>
  <c r="N32" i="88"/>
  <c r="Z31" i="114" s="1"/>
  <c r="O32" i="88"/>
  <c r="R32" i="88" s="1"/>
  <c r="N28" i="88"/>
  <c r="Z27" i="114" s="1"/>
  <c r="O28" i="88"/>
  <c r="R28" i="88" s="1"/>
  <c r="N24" i="88"/>
  <c r="Z23" i="114" s="1"/>
  <c r="O24" i="88"/>
  <c r="R24" i="88" s="1"/>
  <c r="N20" i="88"/>
  <c r="Z19" i="114" s="1"/>
  <c r="O20" i="88"/>
  <c r="R20" i="88" s="1"/>
  <c r="N16" i="88"/>
  <c r="Z15" i="114" s="1"/>
  <c r="O16" i="88"/>
  <c r="R16" i="88" s="1"/>
  <c r="I51" i="7"/>
  <c r="I45" i="7"/>
  <c r="J30" i="127"/>
  <c r="M32" i="7"/>
  <c r="P32" i="7" s="1"/>
  <c r="L32" i="7"/>
  <c r="M24" i="7"/>
  <c r="P24" i="7" s="1"/>
  <c r="L24" i="7"/>
  <c r="N37" i="88"/>
  <c r="Z36" i="114" s="1"/>
  <c r="O37" i="88"/>
  <c r="R37" i="88" s="1"/>
  <c r="N29" i="88"/>
  <c r="Z28" i="114" s="1"/>
  <c r="O29" i="88"/>
  <c r="R29" i="88" s="1"/>
  <c r="N21" i="88"/>
  <c r="Z20" i="114" s="1"/>
  <c r="O21" i="88"/>
  <c r="R21" i="88" s="1"/>
  <c r="T27" i="153"/>
  <c r="V27" i="153" s="1"/>
  <c r="T15" i="153"/>
  <c r="F25" i="100"/>
  <c r="C24" i="142" s="1"/>
  <c r="C21" i="141"/>
  <c r="F21" i="141" s="1"/>
  <c r="E33" i="88"/>
  <c r="C20" i="65"/>
  <c r="C28" i="141"/>
  <c r="F28" i="141" s="1"/>
  <c r="E29" i="84"/>
  <c r="J29" i="84" s="1"/>
  <c r="E21" i="84"/>
  <c r="J21" i="84" s="1"/>
  <c r="M33" i="59"/>
  <c r="R20" i="96"/>
  <c r="C12" i="141"/>
  <c r="F12" i="141" s="1"/>
  <c r="G22" i="111"/>
  <c r="F51" i="7"/>
  <c r="F45" i="7"/>
  <c r="L14" i="7"/>
  <c r="M14" i="7"/>
  <c r="P14" i="7" s="1"/>
  <c r="L34" i="7"/>
  <c r="M34" i="7"/>
  <c r="P34" i="7" s="1"/>
  <c r="M30" i="7"/>
  <c r="P30" i="7" s="1"/>
  <c r="L30" i="7"/>
  <c r="L26" i="7"/>
  <c r="M26" i="7"/>
  <c r="P26" i="7" s="1"/>
  <c r="L22" i="7"/>
  <c r="M22" i="7"/>
  <c r="P22" i="7" s="1"/>
  <c r="L18" i="7"/>
  <c r="M18" i="7"/>
  <c r="P18" i="7" s="1"/>
  <c r="D36" i="117"/>
  <c r="U16" i="153"/>
  <c r="N16" i="153"/>
  <c r="F20" i="153"/>
  <c r="E35" i="65"/>
  <c r="N35" i="88"/>
  <c r="Z34" i="114" s="1"/>
  <c r="O35" i="88"/>
  <c r="R35" i="88" s="1"/>
  <c r="N31" i="88"/>
  <c r="Z30" i="114" s="1"/>
  <c r="O31" i="88"/>
  <c r="R31" i="88" s="1"/>
  <c r="N27" i="88"/>
  <c r="Z26" i="114" s="1"/>
  <c r="O27" i="88"/>
  <c r="R27" i="88" s="1"/>
  <c r="N23" i="88"/>
  <c r="Z22" i="114" s="1"/>
  <c r="O23" i="88"/>
  <c r="R23" i="88" s="1"/>
  <c r="N19" i="88"/>
  <c r="Z18" i="114" s="1"/>
  <c r="O19" i="88"/>
  <c r="R19" i="88" s="1"/>
  <c r="J34" i="127"/>
  <c r="M36" i="7"/>
  <c r="P36" i="7" s="1"/>
  <c r="L36" i="7"/>
  <c r="M28" i="7"/>
  <c r="P28" i="7" s="1"/>
  <c r="L28" i="7"/>
  <c r="J18" i="127"/>
  <c r="L20" i="7"/>
  <c r="M20" i="7"/>
  <c r="P20" i="7" s="1"/>
  <c r="J14" i="127"/>
  <c r="M16" i="7"/>
  <c r="P16" i="7" s="1"/>
  <c r="L16" i="7"/>
  <c r="F12" i="100"/>
  <c r="C11" i="142" s="1"/>
  <c r="C25" i="141"/>
  <c r="F25" i="141" s="1"/>
  <c r="G36" i="16"/>
  <c r="C13" i="141"/>
  <c r="F13" i="141" s="1"/>
  <c r="M33" i="58"/>
  <c r="M29" i="58"/>
  <c r="M22" i="59"/>
  <c r="E29" i="88"/>
  <c r="H36" i="153"/>
  <c r="E17" i="88"/>
  <c r="G18" i="111"/>
  <c r="T20" i="96"/>
  <c r="U26" i="96"/>
  <c r="J22" i="127"/>
  <c r="L23" i="47"/>
  <c r="L19" i="47"/>
  <c r="L16" i="47"/>
  <c r="J51" i="7"/>
  <c r="J45" i="7"/>
  <c r="L37" i="7"/>
  <c r="O37" i="7" s="1"/>
  <c r="M37" i="7"/>
  <c r="L33" i="7"/>
  <c r="O33" i="7" s="1"/>
  <c r="M33" i="7"/>
  <c r="M29" i="7"/>
  <c r="L29" i="7"/>
  <c r="O29" i="7" s="1"/>
  <c r="L25" i="7"/>
  <c r="M25" i="7"/>
  <c r="L21" i="7"/>
  <c r="O21" i="7" s="1"/>
  <c r="M21" i="7"/>
  <c r="L17" i="7"/>
  <c r="O17" i="7" s="1"/>
  <c r="M17" i="7"/>
  <c r="G27" i="115"/>
  <c r="N34" i="153"/>
  <c r="K26" i="65"/>
  <c r="N14" i="88"/>
  <c r="Z13" i="114" s="1"/>
  <c r="O14" i="88"/>
  <c r="N34" i="88"/>
  <c r="Z33" i="114" s="1"/>
  <c r="O34" i="88"/>
  <c r="R34" i="88" s="1"/>
  <c r="N30" i="88"/>
  <c r="Z29" i="114" s="1"/>
  <c r="O30" i="88"/>
  <c r="R30" i="88" s="1"/>
  <c r="N26" i="88"/>
  <c r="Z25" i="114" s="1"/>
  <c r="O26" i="88"/>
  <c r="R26" i="88" s="1"/>
  <c r="N22" i="88"/>
  <c r="Z21" i="114" s="1"/>
  <c r="O22" i="88"/>
  <c r="R22" i="88" s="1"/>
  <c r="E21" i="96"/>
  <c r="E27" i="96" s="1"/>
  <c r="R26" i="96"/>
  <c r="L31" i="60"/>
  <c r="F12" i="153"/>
  <c r="L36" i="153"/>
  <c r="S36" i="153"/>
  <c r="R22" i="153"/>
  <c r="N28" i="153"/>
  <c r="U31" i="153"/>
  <c r="L34" i="60"/>
  <c r="L18" i="60"/>
  <c r="U14" i="153"/>
  <c r="J33" i="153"/>
  <c r="N35" i="153"/>
  <c r="J21" i="96"/>
  <c r="N14" i="153"/>
  <c r="U15" i="153"/>
  <c r="R15" i="153"/>
  <c r="J16" i="153"/>
  <c r="U17" i="153"/>
  <c r="V17" i="153" s="1"/>
  <c r="F18" i="153"/>
  <c r="N18" i="153"/>
  <c r="J20" i="153"/>
  <c r="R20" i="153"/>
  <c r="N33" i="153"/>
  <c r="U35" i="153"/>
  <c r="C13" i="103"/>
  <c r="E16" i="138" s="1"/>
  <c r="V31" i="153"/>
  <c r="O21" i="96"/>
  <c r="O27" i="96" s="1"/>
  <c r="I27" i="96"/>
  <c r="G48" i="56"/>
  <c r="L32" i="60"/>
  <c r="L28" i="60"/>
  <c r="L21" i="60"/>
  <c r="L15" i="60"/>
  <c r="AI17" i="16"/>
  <c r="AI13" i="16"/>
  <c r="AI27" i="16"/>
  <c r="O35" i="16"/>
  <c r="F24" i="153"/>
  <c r="F28" i="153"/>
  <c r="J22" i="27"/>
  <c r="I22" i="27"/>
  <c r="AA31" i="114"/>
  <c r="N15" i="88"/>
  <c r="Z14" i="114" s="1"/>
  <c r="H27" i="96"/>
  <c r="N26" i="96"/>
  <c r="S26" i="96"/>
  <c r="C14" i="141"/>
  <c r="F14" i="141" s="1"/>
  <c r="L17" i="60"/>
  <c r="L16" i="60"/>
  <c r="L18" i="47"/>
  <c r="L31" i="47"/>
  <c r="J12" i="27"/>
  <c r="AI15" i="16"/>
  <c r="AF36" i="16"/>
  <c r="H26" i="14"/>
  <c r="J14" i="153"/>
  <c r="J17" i="153"/>
  <c r="J23" i="153"/>
  <c r="J26" i="153"/>
  <c r="T29" i="153"/>
  <c r="V29" i="153" s="1"/>
  <c r="T30" i="153"/>
  <c r="T35" i="153"/>
  <c r="Q35" i="62"/>
  <c r="G35" i="59"/>
  <c r="G33" i="111"/>
  <c r="G29" i="111"/>
  <c r="M24" i="59"/>
  <c r="M20" i="59"/>
  <c r="G17" i="111"/>
  <c r="M23" i="1"/>
  <c r="AA23" i="114"/>
  <c r="AA19" i="114"/>
  <c r="AA16" i="114"/>
  <c r="U36" i="88"/>
  <c r="V36" i="88" s="1"/>
  <c r="N36" i="88"/>
  <c r="Z35" i="114" s="1"/>
  <c r="F36" i="127"/>
  <c r="L26" i="60"/>
  <c r="I35" i="60"/>
  <c r="L14" i="60"/>
  <c r="L34" i="47"/>
  <c r="L13" i="47"/>
  <c r="U36" i="16"/>
  <c r="D33" i="155"/>
  <c r="T13" i="153"/>
  <c r="U26" i="153"/>
  <c r="J28" i="153"/>
  <c r="J30" i="153"/>
  <c r="R31" i="153"/>
  <c r="M14" i="58"/>
  <c r="AA15" i="114"/>
  <c r="AA20" i="114"/>
  <c r="AA25" i="114"/>
  <c r="AA21" i="114"/>
  <c r="U25" i="88"/>
  <c r="V25" i="88" s="1"/>
  <c r="N25" i="88"/>
  <c r="Z24" i="114" s="1"/>
  <c r="F18" i="100"/>
  <c r="P16" i="96"/>
  <c r="T16" i="96" s="1"/>
  <c r="T21" i="96" s="1"/>
  <c r="L23" i="60"/>
  <c r="L19" i="60"/>
  <c r="L32" i="47"/>
  <c r="L24" i="47"/>
  <c r="L20" i="47"/>
  <c r="Y36" i="16"/>
  <c r="Y38" i="16" s="1"/>
  <c r="AG36" i="16"/>
  <c r="F26" i="14"/>
  <c r="V15" i="153"/>
  <c r="M36" i="153"/>
  <c r="F21" i="153"/>
  <c r="N25" i="153"/>
  <c r="U27" i="153"/>
  <c r="N31" i="153"/>
  <c r="AA33" i="114"/>
  <c r="AA29" i="114"/>
  <c r="U18" i="88"/>
  <c r="V18" i="88" s="1"/>
  <c r="N18" i="88"/>
  <c r="Z17" i="114" s="1"/>
  <c r="C9" i="141"/>
  <c r="F9" i="141" s="1"/>
  <c r="C17" i="141"/>
  <c r="F17" i="141" s="1"/>
  <c r="J18" i="27"/>
  <c r="N36" i="16"/>
  <c r="M17" i="1"/>
  <c r="M13" i="1"/>
  <c r="E19" i="100"/>
  <c r="F19" i="100" s="1"/>
  <c r="C18" i="142" s="1"/>
  <c r="J36" i="74"/>
  <c r="I13" i="27"/>
  <c r="J13" i="27"/>
  <c r="J11" i="27"/>
  <c r="I11" i="27"/>
  <c r="F32" i="88"/>
  <c r="F21" i="88"/>
  <c r="U37" i="88"/>
  <c r="V37" i="88" s="1"/>
  <c r="F37" i="88"/>
  <c r="G37" i="88" s="1"/>
  <c r="F33" i="88"/>
  <c r="G33" i="88" s="1"/>
  <c r="F29" i="88"/>
  <c r="F26" i="88"/>
  <c r="F22" i="88"/>
  <c r="F19" i="88"/>
  <c r="G19" i="88" s="1"/>
  <c r="F26" i="100"/>
  <c r="C31" i="100"/>
  <c r="F31" i="100" s="1"/>
  <c r="M15" i="58"/>
  <c r="T14" i="153"/>
  <c r="V14" i="153" s="1"/>
  <c r="C16" i="141"/>
  <c r="F16" i="141" s="1"/>
  <c r="G35" i="60"/>
  <c r="C14" i="65"/>
  <c r="G23" i="27"/>
  <c r="M11" i="59"/>
  <c r="F31" i="153"/>
  <c r="F23" i="153"/>
  <c r="F14" i="153"/>
  <c r="V20" i="96"/>
  <c r="D27" i="96"/>
  <c r="G19" i="65"/>
  <c r="G16" i="65"/>
  <c r="G35" i="47"/>
  <c r="G20" i="111"/>
  <c r="L29" i="47"/>
  <c r="L26" i="47"/>
  <c r="L14" i="47"/>
  <c r="L33" i="47"/>
  <c r="C26" i="14"/>
  <c r="AI29" i="16"/>
  <c r="AI20" i="16"/>
  <c r="O32" i="16"/>
  <c r="O36" i="16" s="1"/>
  <c r="H36" i="16"/>
  <c r="E25" i="14"/>
  <c r="E26" i="14" s="1"/>
  <c r="J15" i="153"/>
  <c r="N17" i="153"/>
  <c r="U18" i="153"/>
  <c r="V18" i="153" s="1"/>
  <c r="J19" i="153"/>
  <c r="R19" i="153"/>
  <c r="R21" i="153"/>
  <c r="N24" i="153"/>
  <c r="R28" i="153"/>
  <c r="R30" i="153"/>
  <c r="J32" i="153"/>
  <c r="J35" i="153"/>
  <c r="K30" i="65"/>
  <c r="K22" i="65"/>
  <c r="K14" i="65"/>
  <c r="K27" i="65"/>
  <c r="K19" i="65"/>
  <c r="M26" i="1"/>
  <c r="F28" i="100"/>
  <c r="F10" i="100"/>
  <c r="C11" i="103" s="1"/>
  <c r="L35" i="58"/>
  <c r="U28" i="88"/>
  <c r="V28" i="88" s="1"/>
  <c r="F28" i="88"/>
  <c r="F15" i="88"/>
  <c r="F14" i="88"/>
  <c r="G14" i="88" s="1"/>
  <c r="F34" i="88"/>
  <c r="F30" i="88"/>
  <c r="G30" i="88" s="1"/>
  <c r="F23" i="88"/>
  <c r="G23" i="88" s="1"/>
  <c r="F20" i="88"/>
  <c r="F16" i="88"/>
  <c r="M12" i="59"/>
  <c r="C13" i="100"/>
  <c r="F13" i="100" s="1"/>
  <c r="C12" i="142" s="1"/>
  <c r="F17" i="100"/>
  <c r="C16" i="142" s="1"/>
  <c r="C32" i="141"/>
  <c r="F32" i="141" s="1"/>
  <c r="M27" i="1"/>
  <c r="C23" i="66"/>
  <c r="D23" i="66" s="1"/>
  <c r="T33" i="153"/>
  <c r="V33" i="153" s="1"/>
  <c r="D9" i="100"/>
  <c r="F9" i="100" s="1"/>
  <c r="T16" i="153"/>
  <c r="E32" i="88"/>
  <c r="E36" i="153"/>
  <c r="T12" i="153"/>
  <c r="T26" i="153"/>
  <c r="I36" i="117"/>
  <c r="D38" i="88"/>
  <c r="Q36" i="153"/>
  <c r="C24" i="65"/>
  <c r="C28" i="65"/>
  <c r="C10" i="141"/>
  <c r="F10" i="141" s="1"/>
  <c r="C35" i="60"/>
  <c r="M30" i="1"/>
  <c r="M31" i="58"/>
  <c r="P36" i="16"/>
  <c r="M21" i="96"/>
  <c r="M27" i="96" s="1"/>
  <c r="T26" i="96"/>
  <c r="C29" i="141"/>
  <c r="F29" i="141" s="1"/>
  <c r="G11" i="65"/>
  <c r="L13" i="60"/>
  <c r="K35" i="47"/>
  <c r="L12" i="47"/>
  <c r="AI30" i="16"/>
  <c r="AI25" i="16"/>
  <c r="AE36" i="16"/>
  <c r="AI21" i="16"/>
  <c r="AI26" i="16"/>
  <c r="N13" i="153"/>
  <c r="J18" i="153"/>
  <c r="N20" i="153"/>
  <c r="J21" i="153"/>
  <c r="J34" i="153"/>
  <c r="E26" i="88"/>
  <c r="U16" i="88"/>
  <c r="V16" i="88" s="1"/>
  <c r="F22" i="157"/>
  <c r="G27" i="111"/>
  <c r="M18" i="59"/>
  <c r="F36" i="88"/>
  <c r="F25" i="88"/>
  <c r="G25" i="88" s="1"/>
  <c r="F18" i="88"/>
  <c r="F35" i="88"/>
  <c r="G35" i="88" s="1"/>
  <c r="F31" i="88"/>
  <c r="G31" i="88" s="1"/>
  <c r="F27" i="88"/>
  <c r="G27" i="88" s="1"/>
  <c r="F24" i="88"/>
  <c r="G24" i="88" s="1"/>
  <c r="F17" i="88"/>
  <c r="G17" i="88" s="1"/>
  <c r="M32" i="59"/>
  <c r="F30" i="100"/>
  <c r="T21" i="153"/>
  <c r="E21" i="88"/>
  <c r="E15" i="88"/>
  <c r="H27" i="115"/>
  <c r="M21" i="59"/>
  <c r="T20" i="153"/>
  <c r="V20" i="153" s="1"/>
  <c r="U15" i="88"/>
  <c r="V15" i="88" s="1"/>
  <c r="M19" i="58"/>
  <c r="N16" i="96"/>
  <c r="N21" i="96" s="1"/>
  <c r="N27" i="96" s="1"/>
  <c r="S20" i="96"/>
  <c r="S21" i="96" s="1"/>
  <c r="S27" i="96" s="1"/>
  <c r="J26" i="96"/>
  <c r="C31" i="141"/>
  <c r="F31" i="141" s="1"/>
  <c r="L30" i="60"/>
  <c r="L27" i="60"/>
  <c r="L30" i="47"/>
  <c r="L27" i="47"/>
  <c r="L21" i="47"/>
  <c r="L15" i="47"/>
  <c r="I14" i="27"/>
  <c r="G26" i="152"/>
  <c r="G22" i="152"/>
  <c r="G14" i="152"/>
  <c r="F36" i="117"/>
  <c r="U13" i="153"/>
  <c r="V13" i="153" s="1"/>
  <c r="R13" i="153"/>
  <c r="N15" i="153"/>
  <c r="N19" i="153"/>
  <c r="U21" i="153"/>
  <c r="J22" i="153"/>
  <c r="U23" i="153"/>
  <c r="V23" i="153" s="1"/>
  <c r="R24" i="153"/>
  <c r="U25" i="153"/>
  <c r="V25" i="153" s="1"/>
  <c r="R26" i="153"/>
  <c r="N27" i="153"/>
  <c r="J29" i="153"/>
  <c r="J31" i="153"/>
  <c r="N32" i="153"/>
  <c r="R35" i="153"/>
  <c r="K34" i="65"/>
  <c r="K18" i="65"/>
  <c r="E20" i="88"/>
  <c r="E18" i="88"/>
  <c r="U20" i="88"/>
  <c r="V20" i="88" s="1"/>
  <c r="M25" i="58"/>
  <c r="G17" i="100"/>
  <c r="E17" i="123" s="1"/>
  <c r="G17" i="152"/>
  <c r="G13" i="152"/>
  <c r="G30" i="152"/>
  <c r="G21" i="152"/>
  <c r="E33" i="152"/>
  <c r="C17" i="142"/>
  <c r="C19" i="103"/>
  <c r="C21" i="103"/>
  <c r="E24" i="138" s="1"/>
  <c r="C19" i="142"/>
  <c r="C27" i="142"/>
  <c r="C29" i="103"/>
  <c r="C12" i="124"/>
  <c r="F12" i="124" s="1"/>
  <c r="C27" i="103"/>
  <c r="C25" i="142"/>
  <c r="M35" i="75"/>
  <c r="P35" i="75" s="1"/>
  <c r="L35" i="75"/>
  <c r="M31" i="75"/>
  <c r="P31" i="75" s="1"/>
  <c r="L31" i="75"/>
  <c r="O31" i="75" s="1"/>
  <c r="M27" i="75"/>
  <c r="P27" i="75" s="1"/>
  <c r="L27" i="75"/>
  <c r="M23" i="75"/>
  <c r="L23" i="75"/>
  <c r="O23" i="75" s="1"/>
  <c r="L19" i="75"/>
  <c r="N19" i="75" s="1"/>
  <c r="Q19" i="75" s="1"/>
  <c r="M19" i="75"/>
  <c r="P19" i="75" s="1"/>
  <c r="M15" i="75"/>
  <c r="P15" i="75" s="1"/>
  <c r="L15" i="75"/>
  <c r="G34" i="5"/>
  <c r="G30" i="5"/>
  <c r="G26" i="5"/>
  <c r="G22" i="5"/>
  <c r="G18" i="5"/>
  <c r="G14" i="5"/>
  <c r="E13" i="84"/>
  <c r="J13" i="84" s="1"/>
  <c r="E26" i="138"/>
  <c r="M36" i="75"/>
  <c r="P36" i="75" s="1"/>
  <c r="L36" i="75"/>
  <c r="O36" i="75" s="1"/>
  <c r="M32" i="75"/>
  <c r="P32" i="75" s="1"/>
  <c r="L32" i="75"/>
  <c r="M28" i="75"/>
  <c r="P28" i="75" s="1"/>
  <c r="L28" i="75"/>
  <c r="O28" i="75" s="1"/>
  <c r="M24" i="75"/>
  <c r="P24" i="75" s="1"/>
  <c r="L24" i="75"/>
  <c r="M20" i="75"/>
  <c r="P20" i="75" s="1"/>
  <c r="L20" i="75"/>
  <c r="M16" i="75"/>
  <c r="P16" i="75" s="1"/>
  <c r="L16" i="75"/>
  <c r="G35" i="5"/>
  <c r="G31" i="5"/>
  <c r="G27" i="5"/>
  <c r="G23" i="5"/>
  <c r="G19" i="5"/>
  <c r="G15" i="5"/>
  <c r="E25" i="84"/>
  <c r="J25" i="84" s="1"/>
  <c r="J12" i="111"/>
  <c r="M13" i="75"/>
  <c r="P13" i="75" s="1"/>
  <c r="L13" i="75"/>
  <c r="O13" i="75" s="1"/>
  <c r="M33" i="75"/>
  <c r="P33" i="75" s="1"/>
  <c r="L33" i="75"/>
  <c r="M29" i="75"/>
  <c r="P29" i="75" s="1"/>
  <c r="L29" i="75"/>
  <c r="M25" i="75"/>
  <c r="P25" i="75" s="1"/>
  <c r="L25" i="75"/>
  <c r="O25" i="75" s="1"/>
  <c r="M21" i="75"/>
  <c r="P21" i="75" s="1"/>
  <c r="L21" i="75"/>
  <c r="M17" i="75"/>
  <c r="P17" i="75" s="1"/>
  <c r="L17" i="75"/>
  <c r="J12" i="127"/>
  <c r="G12" i="5"/>
  <c r="G32" i="5"/>
  <c r="G28" i="5"/>
  <c r="G24" i="5"/>
  <c r="G20" i="5"/>
  <c r="G16" i="5"/>
  <c r="C20" i="103"/>
  <c r="E15" i="84"/>
  <c r="J15" i="84" s="1"/>
  <c r="F17" i="62"/>
  <c r="M34" i="75"/>
  <c r="P34" i="75" s="1"/>
  <c r="L34" i="75"/>
  <c r="M30" i="75"/>
  <c r="L30" i="75"/>
  <c r="O30" i="75" s="1"/>
  <c r="M26" i="75"/>
  <c r="P26" i="75" s="1"/>
  <c r="L26" i="75"/>
  <c r="M22" i="75"/>
  <c r="L22" i="75"/>
  <c r="M18" i="75"/>
  <c r="P18" i="75" s="1"/>
  <c r="L18" i="75"/>
  <c r="O18" i="75" s="1"/>
  <c r="M14" i="75"/>
  <c r="L14" i="75"/>
  <c r="J33" i="127"/>
  <c r="G33" i="5"/>
  <c r="G29" i="5"/>
  <c r="G25" i="5"/>
  <c r="J21" i="127"/>
  <c r="G21" i="5"/>
  <c r="J17" i="127"/>
  <c r="G17" i="5"/>
  <c r="P14" i="75"/>
  <c r="G13" i="5"/>
  <c r="F16" i="100"/>
  <c r="E23" i="75"/>
  <c r="J29" i="4"/>
  <c r="J28" i="4"/>
  <c r="J34" i="4"/>
  <c r="J28" i="111"/>
  <c r="L22" i="60"/>
  <c r="J20" i="111"/>
  <c r="P30" i="75"/>
  <c r="O14" i="75"/>
  <c r="H36" i="127"/>
  <c r="J29" i="127"/>
  <c r="N25" i="75"/>
  <c r="Q25" i="75" s="1"/>
  <c r="P22" i="75"/>
  <c r="H36" i="111"/>
  <c r="J13" i="127"/>
  <c r="L25" i="47"/>
  <c r="L17" i="47"/>
  <c r="J38" i="88"/>
  <c r="E24" i="66"/>
  <c r="E17" i="66"/>
  <c r="F17" i="66" s="1"/>
  <c r="M34" i="59"/>
  <c r="M28" i="59"/>
  <c r="E31" i="66"/>
  <c r="F31" i="66" s="1"/>
  <c r="F16" i="66"/>
  <c r="F26" i="66"/>
  <c r="E29" i="66"/>
  <c r="F29" i="66" s="1"/>
  <c r="E15" i="66"/>
  <c r="F15" i="66" s="1"/>
  <c r="F15" i="62"/>
  <c r="E21" i="66"/>
  <c r="F21" i="66" s="1"/>
  <c r="M16" i="59"/>
  <c r="G13" i="111"/>
  <c r="E13" i="66"/>
  <c r="F13" i="66" s="1"/>
  <c r="F13" i="62"/>
  <c r="G9" i="100"/>
  <c r="G25" i="100"/>
  <c r="E25" i="123" s="1"/>
  <c r="G12" i="111"/>
  <c r="M11" i="58"/>
  <c r="G31" i="111"/>
  <c r="M30" i="58"/>
  <c r="F16" i="62"/>
  <c r="G14" i="111"/>
  <c r="M13" i="58"/>
  <c r="G21" i="111"/>
  <c r="G15" i="100"/>
  <c r="E15" i="123" s="1"/>
  <c r="G23" i="100"/>
  <c r="E23" i="123" s="1"/>
  <c r="G28" i="111"/>
  <c r="M20" i="58"/>
  <c r="F11" i="62"/>
  <c r="F27" i="62"/>
  <c r="F19" i="62"/>
  <c r="M12" i="1"/>
  <c r="M15" i="1"/>
  <c r="F29" i="62"/>
  <c r="M28" i="1"/>
  <c r="M31" i="1"/>
  <c r="D35" i="62"/>
  <c r="L36" i="1"/>
  <c r="F12" i="62"/>
  <c r="C20" i="66"/>
  <c r="D20" i="66" s="1"/>
  <c r="E19" i="84" s="1"/>
  <c r="J19" i="84" s="1"/>
  <c r="F32" i="62"/>
  <c r="F24" i="62"/>
  <c r="F14" i="62"/>
  <c r="C35" i="62"/>
  <c r="C12" i="66"/>
  <c r="C26" i="103"/>
  <c r="O24" i="75"/>
  <c r="I17" i="27"/>
  <c r="J17" i="27"/>
  <c r="J20" i="27"/>
  <c r="I20" i="27"/>
  <c r="AI14" i="16"/>
  <c r="AD36" i="16"/>
  <c r="J35" i="62"/>
  <c r="C29" i="100"/>
  <c r="F29" i="100" s="1"/>
  <c r="C28" i="142" s="1"/>
  <c r="G36" i="1"/>
  <c r="E32" i="100"/>
  <c r="F32" i="100" s="1"/>
  <c r="C31" i="142" s="1"/>
  <c r="G35" i="58"/>
  <c r="J36" i="117"/>
  <c r="G33" i="65"/>
  <c r="O17" i="86"/>
  <c r="M34" i="58"/>
  <c r="F36" i="153"/>
  <c r="J17" i="4"/>
  <c r="K37" i="75"/>
  <c r="C14" i="103"/>
  <c r="M32" i="1"/>
  <c r="C27" i="141"/>
  <c r="F27" i="141" s="1"/>
  <c r="L11" i="60"/>
  <c r="H35" i="60"/>
  <c r="J31" i="4"/>
  <c r="J27" i="4"/>
  <c r="J22" i="4"/>
  <c r="O27" i="75"/>
  <c r="L33" i="60"/>
  <c r="M38" i="88"/>
  <c r="C18" i="103"/>
  <c r="G11" i="152"/>
  <c r="D53" i="7"/>
  <c r="F36" i="4"/>
  <c r="O32" i="75"/>
  <c r="N32" i="75"/>
  <c r="Q32" i="75" s="1"/>
  <c r="O19" i="75"/>
  <c r="L24" i="60"/>
  <c r="L22" i="47"/>
  <c r="J21" i="4"/>
  <c r="G19" i="86"/>
  <c r="G38" i="86" s="1"/>
  <c r="F38" i="86"/>
  <c r="T40" i="88"/>
  <c r="O35" i="75"/>
  <c r="N35" i="75"/>
  <c r="Q35" i="75" s="1"/>
  <c r="C26" i="65"/>
  <c r="C24" i="141"/>
  <c r="F24" i="141" s="1"/>
  <c r="L29" i="60"/>
  <c r="I53" i="7"/>
  <c r="G51" i="7"/>
  <c r="Q35" i="60"/>
  <c r="J21" i="27"/>
  <c r="I21" i="27"/>
  <c r="AA36" i="16"/>
  <c r="AA38" i="16" s="1"/>
  <c r="I35" i="47"/>
  <c r="C15" i="141"/>
  <c r="O34" i="75"/>
  <c r="N31" i="75"/>
  <c r="Q31" i="75" s="1"/>
  <c r="R21" i="16"/>
  <c r="Q36" i="16"/>
  <c r="F26" i="96"/>
  <c r="V23" i="96"/>
  <c r="C21" i="65"/>
  <c r="C25" i="65"/>
  <c r="C23" i="141"/>
  <c r="F23" i="141" s="1"/>
  <c r="L12" i="60"/>
  <c r="H37" i="75"/>
  <c r="J14" i="4"/>
  <c r="H36" i="4"/>
  <c r="I15" i="27"/>
  <c r="H23" i="27"/>
  <c r="L13" i="56"/>
  <c r="G36" i="127"/>
  <c r="E17" i="75"/>
  <c r="C37" i="75"/>
  <c r="J19" i="4"/>
  <c r="N14" i="75"/>
  <c r="Q14" i="75" s="1"/>
  <c r="K12" i="13"/>
  <c r="C21" i="96"/>
  <c r="F16" i="96"/>
  <c r="V24" i="96"/>
  <c r="F36" i="111"/>
  <c r="E24" i="75"/>
  <c r="J33" i="4"/>
  <c r="Q35" i="47"/>
  <c r="N23" i="75"/>
  <c r="Q23" i="75" s="1"/>
  <c r="P23" i="75"/>
  <c r="L11" i="47"/>
  <c r="H35" i="47"/>
  <c r="L28" i="47"/>
  <c r="E30" i="75"/>
  <c r="O33" i="75"/>
  <c r="J16" i="4"/>
  <c r="J35" i="47"/>
  <c r="U12" i="153"/>
  <c r="U20" i="96"/>
  <c r="U21" i="96" s="1"/>
  <c r="U27" i="96" s="1"/>
  <c r="J53" i="7"/>
  <c r="J23" i="4"/>
  <c r="G53" i="7"/>
  <c r="K23" i="27"/>
  <c r="G18" i="152"/>
  <c r="F53" i="7"/>
  <c r="J18" i="4"/>
  <c r="C34" i="13"/>
  <c r="C36" i="86"/>
  <c r="O36" i="86" s="1"/>
  <c r="C26" i="13"/>
  <c r="C28" i="86"/>
  <c r="O28" i="86" s="1"/>
  <c r="C18" i="13"/>
  <c r="C20" i="86"/>
  <c r="O20" i="86" s="1"/>
  <c r="AI35" i="16"/>
  <c r="M23" i="59"/>
  <c r="D21" i="100"/>
  <c r="J13" i="4"/>
  <c r="C15" i="100"/>
  <c r="M18" i="1"/>
  <c r="E35" i="66"/>
  <c r="G32" i="100"/>
  <c r="E32" i="123" s="1"/>
  <c r="M29" i="59"/>
  <c r="D27" i="100"/>
  <c r="F27" i="100" s="1"/>
  <c r="C26" i="142" s="1"/>
  <c r="F33" i="135"/>
  <c r="U24" i="153"/>
  <c r="V24" i="153" s="1"/>
  <c r="U28" i="153"/>
  <c r="V28" i="153" s="1"/>
  <c r="I35" i="65"/>
  <c r="K11" i="65"/>
  <c r="C21" i="100"/>
  <c r="M24" i="1"/>
  <c r="M31" i="59"/>
  <c r="F36" i="26"/>
  <c r="J24" i="153"/>
  <c r="R32" i="153"/>
  <c r="U32" i="153"/>
  <c r="V32" i="153" s="1"/>
  <c r="F14" i="100"/>
  <c r="C13" i="142" s="1"/>
  <c r="M22" i="58"/>
  <c r="L35" i="59"/>
  <c r="AI24" i="16"/>
  <c r="E34" i="66"/>
  <c r="G34" i="111"/>
  <c r="F33" i="152"/>
  <c r="E33" i="135"/>
  <c r="K22" i="157"/>
  <c r="AI12" i="16"/>
  <c r="U30" i="153"/>
  <c r="T34" i="153"/>
  <c r="V34" i="153" s="1"/>
  <c r="R34" i="153"/>
  <c r="U34" i="153"/>
  <c r="E22" i="88"/>
  <c r="F24" i="100"/>
  <c r="C23" i="142" s="1"/>
  <c r="E24" i="100"/>
  <c r="E33" i="100" s="1"/>
  <c r="M26" i="58"/>
  <c r="G31" i="100"/>
  <c r="AI16" i="16"/>
  <c r="D36" i="26"/>
  <c r="P36" i="153"/>
  <c r="D36" i="153"/>
  <c r="N22" i="153"/>
  <c r="N36" i="153" s="1"/>
  <c r="E36" i="88"/>
  <c r="E28" i="88"/>
  <c r="G28" i="88" s="1"/>
  <c r="U21" i="88"/>
  <c r="E23" i="66"/>
  <c r="F23" i="66" s="1"/>
  <c r="G23" i="111"/>
  <c r="D11" i="100"/>
  <c r="F11" i="100" s="1"/>
  <c r="C10" i="142" s="1"/>
  <c r="M13" i="59"/>
  <c r="U22" i="153"/>
  <c r="V22" i="153" s="1"/>
  <c r="E33" i="66"/>
  <c r="E27" i="66"/>
  <c r="F31" i="62"/>
  <c r="T19" i="153"/>
  <c r="E34" i="88"/>
  <c r="G34" i="88" s="1"/>
  <c r="U24" i="88"/>
  <c r="V24" i="88" s="1"/>
  <c r="M20" i="1"/>
  <c r="F23" i="62"/>
  <c r="G10" i="100"/>
  <c r="G18" i="100"/>
  <c r="G26" i="100"/>
  <c r="E32" i="66"/>
  <c r="E25" i="66"/>
  <c r="G25" i="111"/>
  <c r="G11" i="100"/>
  <c r="E11" i="123" s="1"/>
  <c r="G19" i="100"/>
  <c r="G27" i="100"/>
  <c r="E27" i="123" s="1"/>
  <c r="U32" i="88"/>
  <c r="V32" i="88" s="1"/>
  <c r="AA22" i="114"/>
  <c r="F23" i="100"/>
  <c r="C22" i="142" s="1"/>
  <c r="G12" i="100"/>
  <c r="E12" i="123" s="1"/>
  <c r="G20" i="100"/>
  <c r="E20" i="123" s="1"/>
  <c r="G28" i="100"/>
  <c r="G24" i="100"/>
  <c r="E24" i="123" s="1"/>
  <c r="E19" i="66"/>
  <c r="G19" i="111"/>
  <c r="G13" i="100"/>
  <c r="E13" i="123" s="1"/>
  <c r="G21" i="100"/>
  <c r="E21" i="123" s="1"/>
  <c r="G29" i="100"/>
  <c r="E29" i="123" s="1"/>
  <c r="U29" i="88"/>
  <c r="V29" i="88" s="1"/>
  <c r="M25" i="59"/>
  <c r="G14" i="100"/>
  <c r="E14" i="123" s="1"/>
  <c r="G22" i="100"/>
  <c r="G30" i="100"/>
  <c r="E30" i="123" s="1"/>
  <c r="G16" i="100"/>
  <c r="H36" i="13"/>
  <c r="I36" i="13"/>
  <c r="J37" i="86"/>
  <c r="K36" i="86"/>
  <c r="J33" i="86"/>
  <c r="K33" i="86"/>
  <c r="K23" i="86"/>
  <c r="K20" i="86"/>
  <c r="K18" i="86"/>
  <c r="J14" i="86"/>
  <c r="I38" i="86"/>
  <c r="J29" i="86"/>
  <c r="J27" i="86"/>
  <c r="J17" i="86"/>
  <c r="K32" i="86"/>
  <c r="K17" i="86"/>
  <c r="K31" i="86"/>
  <c r="K30" i="86"/>
  <c r="K28" i="86"/>
  <c r="K26" i="86"/>
  <c r="K16" i="86"/>
  <c r="K15" i="86"/>
  <c r="J25" i="86"/>
  <c r="E14" i="138" l="1"/>
  <c r="H11" i="103"/>
  <c r="I11" i="103" s="1"/>
  <c r="Q11" i="103" s="1"/>
  <c r="R14" i="88"/>
  <c r="R38" i="88" s="1"/>
  <c r="O38" i="88"/>
  <c r="O36" i="7"/>
  <c r="N36" i="7"/>
  <c r="Q36" i="7" s="1"/>
  <c r="C51" i="7"/>
  <c r="C45" i="7"/>
  <c r="H23" i="103"/>
  <c r="I23" i="103" s="1"/>
  <c r="Q23" i="103" s="1"/>
  <c r="N28" i="75"/>
  <c r="Q28" i="75" s="1"/>
  <c r="C9" i="142"/>
  <c r="T27" i="96"/>
  <c r="V26" i="153"/>
  <c r="V16" i="153"/>
  <c r="N17" i="7"/>
  <c r="Q17" i="7" s="1"/>
  <c r="P17" i="7"/>
  <c r="M38" i="7"/>
  <c r="P25" i="7"/>
  <c r="N33" i="7"/>
  <c r="Q33" i="7" s="1"/>
  <c r="P33" i="7"/>
  <c r="N22" i="7"/>
  <c r="Q22" i="7" s="1"/>
  <c r="O22" i="7"/>
  <c r="N14" i="7"/>
  <c r="L38" i="7"/>
  <c r="O14" i="7"/>
  <c r="N32" i="7"/>
  <c r="Q32" i="7" s="1"/>
  <c r="O32" i="7"/>
  <c r="N16" i="7"/>
  <c r="Q16" i="7" s="1"/>
  <c r="O16" i="7"/>
  <c r="N15" i="7"/>
  <c r="Q15" i="7" s="1"/>
  <c r="O15" i="7"/>
  <c r="N31" i="7"/>
  <c r="Q31" i="7" s="1"/>
  <c r="O31" i="7"/>
  <c r="V30" i="153"/>
  <c r="R16" i="96"/>
  <c r="R21" i="96" s="1"/>
  <c r="R27" i="96" s="1"/>
  <c r="H51" i="7"/>
  <c r="H53" i="7" s="1"/>
  <c r="H45" i="7"/>
  <c r="J36" i="153"/>
  <c r="M37" i="75"/>
  <c r="M51" i="7" s="1"/>
  <c r="K51" i="7"/>
  <c r="K53" i="7" s="1"/>
  <c r="K45" i="7"/>
  <c r="H21" i="103"/>
  <c r="I21" i="103" s="1"/>
  <c r="Q21" i="103" s="1"/>
  <c r="N36" i="75"/>
  <c r="Q36" i="75" s="1"/>
  <c r="C22" i="124"/>
  <c r="F22" i="124" s="1"/>
  <c r="H13" i="103"/>
  <c r="I13" i="103" s="1"/>
  <c r="Q13" i="103" s="1"/>
  <c r="J27" i="96"/>
  <c r="P21" i="96"/>
  <c r="P27" i="96" s="1"/>
  <c r="O25" i="7"/>
  <c r="N25" i="7"/>
  <c r="Q25" i="7" s="1"/>
  <c r="O28" i="7"/>
  <c r="N28" i="7"/>
  <c r="Q28" i="7" s="1"/>
  <c r="N27" i="7"/>
  <c r="Q27" i="7" s="1"/>
  <c r="O27" i="7"/>
  <c r="N29" i="7"/>
  <c r="Q29" i="7" s="1"/>
  <c r="P29" i="7"/>
  <c r="O20" i="7"/>
  <c r="N20" i="7"/>
  <c r="Q20" i="7" s="1"/>
  <c r="N30" i="7"/>
  <c r="Q30" i="7" s="1"/>
  <c r="O30" i="7"/>
  <c r="N23" i="7"/>
  <c r="Q23" i="7" s="1"/>
  <c r="O23" i="7"/>
  <c r="N18" i="75"/>
  <c r="Q18" i="75" s="1"/>
  <c r="K35" i="65"/>
  <c r="H17" i="100"/>
  <c r="N27" i="75"/>
  <c r="Q27" i="75" s="1"/>
  <c r="G35" i="65"/>
  <c r="J36" i="111"/>
  <c r="P14" i="103"/>
  <c r="G18" i="88"/>
  <c r="G29" i="88"/>
  <c r="V35" i="153"/>
  <c r="N21" i="7"/>
  <c r="Q21" i="7" s="1"/>
  <c r="P21" i="7"/>
  <c r="N37" i="7"/>
  <c r="Q37" i="7" s="1"/>
  <c r="P37" i="7"/>
  <c r="N18" i="7"/>
  <c r="Q18" i="7" s="1"/>
  <c r="O18" i="7"/>
  <c r="N26" i="7"/>
  <c r="Q26" i="7" s="1"/>
  <c r="O26" i="7"/>
  <c r="N34" i="7"/>
  <c r="Q34" i="7" s="1"/>
  <c r="O34" i="7"/>
  <c r="N24" i="7"/>
  <c r="Q24" i="7" s="1"/>
  <c r="O24" i="7"/>
  <c r="N19" i="7"/>
  <c r="Q19" i="7" s="1"/>
  <c r="O19" i="7"/>
  <c r="N35" i="7"/>
  <c r="Q35" i="7" s="1"/>
  <c r="O35" i="7"/>
  <c r="AA34" i="114"/>
  <c r="AA24" i="114"/>
  <c r="AA18" i="114"/>
  <c r="AA14" i="114"/>
  <c r="J36" i="127"/>
  <c r="N29" i="75"/>
  <c r="Q29" i="75" s="1"/>
  <c r="AA30" i="114"/>
  <c r="J23" i="27"/>
  <c r="AA35" i="114"/>
  <c r="AA27" i="114"/>
  <c r="N26" i="75"/>
  <c r="Q26" i="75" s="1"/>
  <c r="N34" i="75"/>
  <c r="Q34" i="75" s="1"/>
  <c r="AA26" i="114"/>
  <c r="AA17" i="114"/>
  <c r="U38" i="16"/>
  <c r="J19" i="86"/>
  <c r="G36" i="88"/>
  <c r="G22" i="88"/>
  <c r="G15" i="88"/>
  <c r="G32" i="88"/>
  <c r="G20" i="88"/>
  <c r="C8" i="142"/>
  <c r="C10" i="103"/>
  <c r="AI36" i="16"/>
  <c r="AI38" i="16" s="1"/>
  <c r="R36" i="153"/>
  <c r="C29" i="142"/>
  <c r="C31" i="103"/>
  <c r="Q14" i="88"/>
  <c r="S14" i="88" s="1"/>
  <c r="P14" i="88"/>
  <c r="V16" i="96"/>
  <c r="V21" i="96" s="1"/>
  <c r="O26" i="75"/>
  <c r="V21" i="153"/>
  <c r="C30" i="142"/>
  <c r="C32" i="103"/>
  <c r="I23" i="27"/>
  <c r="N24" i="75"/>
  <c r="Q24" i="75" s="1"/>
  <c r="N33" i="75"/>
  <c r="Q33" i="75" s="1"/>
  <c r="G21" i="88"/>
  <c r="G26" i="88"/>
  <c r="G33" i="152"/>
  <c r="N15" i="75"/>
  <c r="Q15" i="75" s="1"/>
  <c r="O15" i="75"/>
  <c r="P28" i="103"/>
  <c r="C26" i="124"/>
  <c r="F26" i="124" s="1"/>
  <c r="H27" i="103"/>
  <c r="I27" i="103" s="1"/>
  <c r="Q27" i="103" s="1"/>
  <c r="E30" i="138"/>
  <c r="C13" i="124"/>
  <c r="F13" i="124" s="1"/>
  <c r="P15" i="103"/>
  <c r="C25" i="124"/>
  <c r="F25" i="124" s="1"/>
  <c r="P27" i="103"/>
  <c r="C15" i="142"/>
  <c r="C17" i="103"/>
  <c r="C19" i="124"/>
  <c r="F19" i="124" s="1"/>
  <c r="P21" i="103"/>
  <c r="E23" i="138"/>
  <c r="N20" i="75"/>
  <c r="Q20" i="75" s="1"/>
  <c r="O20" i="75"/>
  <c r="C28" i="124"/>
  <c r="F28" i="124" s="1"/>
  <c r="P30" i="103"/>
  <c r="H29" i="103"/>
  <c r="I29" i="103" s="1"/>
  <c r="Q29" i="103" s="1"/>
  <c r="E32" i="138"/>
  <c r="P20" i="103"/>
  <c r="C18" i="124"/>
  <c r="F18" i="124" s="1"/>
  <c r="H19" i="103"/>
  <c r="I19" i="103" s="1"/>
  <c r="Q19" i="103" s="1"/>
  <c r="E22" i="138"/>
  <c r="E28" i="84"/>
  <c r="J28" i="84" s="1"/>
  <c r="C10" i="124"/>
  <c r="F10" i="124" s="1"/>
  <c r="P12" i="103"/>
  <c r="O17" i="75"/>
  <c r="N17" i="75"/>
  <c r="Q17" i="75" s="1"/>
  <c r="P22" i="103"/>
  <c r="C20" i="124"/>
  <c r="F20" i="124" s="1"/>
  <c r="C17" i="124"/>
  <c r="F17" i="124" s="1"/>
  <c r="P19" i="103"/>
  <c r="O16" i="75"/>
  <c r="N16" i="75"/>
  <c r="Q16" i="75" s="1"/>
  <c r="C36" i="13"/>
  <c r="N22" i="75"/>
  <c r="Q22" i="75" s="1"/>
  <c r="O22" i="75"/>
  <c r="N30" i="75"/>
  <c r="Q30" i="75" s="1"/>
  <c r="L35" i="47"/>
  <c r="L37" i="75"/>
  <c r="L51" i="7" s="1"/>
  <c r="N13" i="75"/>
  <c r="Q13" i="75" s="1"/>
  <c r="O29" i="75"/>
  <c r="O21" i="75"/>
  <c r="N21" i="75"/>
  <c r="Q21" i="75" s="1"/>
  <c r="C35" i="65"/>
  <c r="P37" i="75"/>
  <c r="E12" i="84"/>
  <c r="J12" i="84" s="1"/>
  <c r="P35" i="62"/>
  <c r="O35" i="62"/>
  <c r="E20" i="84"/>
  <c r="J20" i="84" s="1"/>
  <c r="E30" i="84"/>
  <c r="J30" i="84" s="1"/>
  <c r="F24" i="66"/>
  <c r="E23" i="84"/>
  <c r="J23" i="84" s="1"/>
  <c r="E14" i="84"/>
  <c r="J14" i="84" s="1"/>
  <c r="E9" i="123"/>
  <c r="H9" i="100"/>
  <c r="H25" i="100"/>
  <c r="M35" i="58"/>
  <c r="R35" i="62"/>
  <c r="G36" i="111"/>
  <c r="D12" i="66"/>
  <c r="C36" i="66"/>
  <c r="H11" i="100"/>
  <c r="C12" i="103"/>
  <c r="P30" i="88"/>
  <c r="Q30" i="88"/>
  <c r="S30" i="88" s="1"/>
  <c r="G12" i="74"/>
  <c r="G36" i="74" s="1"/>
  <c r="F36" i="74"/>
  <c r="F25" i="66"/>
  <c r="E24" i="84"/>
  <c r="J24" i="84" s="1"/>
  <c r="Q32" i="88"/>
  <c r="S32" i="88" s="1"/>
  <c r="P32" i="88"/>
  <c r="K38" i="86"/>
  <c r="E19" i="123"/>
  <c r="H19" i="100"/>
  <c r="F32" i="66"/>
  <c r="E31" i="84"/>
  <c r="J31" i="84" s="1"/>
  <c r="V21" i="88"/>
  <c r="V38" i="88" s="1"/>
  <c r="V40" i="88" s="1"/>
  <c r="U38" i="88"/>
  <c r="U40" i="88" s="1"/>
  <c r="F34" i="66"/>
  <c r="E33" i="84"/>
  <c r="J33" i="84" s="1"/>
  <c r="C28" i="103"/>
  <c r="H27" i="100"/>
  <c r="P27" i="88"/>
  <c r="Q27" i="88"/>
  <c r="C27" i="96"/>
  <c r="F21" i="96"/>
  <c r="F27" i="96" s="1"/>
  <c r="H12" i="100"/>
  <c r="H14" i="103"/>
  <c r="I14" i="103" s="1"/>
  <c r="Q14" i="103" s="1"/>
  <c r="E17" i="138"/>
  <c r="E18" i="123"/>
  <c r="H18" i="100"/>
  <c r="M35" i="59"/>
  <c r="P21" i="88"/>
  <c r="Q21" i="88"/>
  <c r="S21" i="88" s="1"/>
  <c r="Q36" i="88"/>
  <c r="S36" i="88" s="1"/>
  <c r="P36" i="88"/>
  <c r="Q22" i="88"/>
  <c r="S22" i="88" s="1"/>
  <c r="P22" i="88"/>
  <c r="H26" i="103"/>
  <c r="I26" i="103" s="1"/>
  <c r="Q26" i="103" s="1"/>
  <c r="E29" i="138"/>
  <c r="Q17" i="88"/>
  <c r="S17" i="88" s="1"/>
  <c r="P17" i="88"/>
  <c r="H10" i="100"/>
  <c r="E10" i="123"/>
  <c r="G33" i="100"/>
  <c r="P20" i="88"/>
  <c r="Q20" i="88"/>
  <c r="S20" i="88" s="1"/>
  <c r="D33" i="100"/>
  <c r="F35" i="66"/>
  <c r="E34" i="84"/>
  <c r="J34" i="84" s="1"/>
  <c r="E38" i="88"/>
  <c r="L35" i="60"/>
  <c r="C38" i="86"/>
  <c r="C41" i="86" s="1"/>
  <c r="H32" i="100"/>
  <c r="C33" i="103"/>
  <c r="C32" i="124" s="1"/>
  <c r="F32" i="124" s="1"/>
  <c r="P37" i="88"/>
  <c r="Q37" i="88"/>
  <c r="S37" i="88" s="1"/>
  <c r="Q19" i="88"/>
  <c r="P19" i="88"/>
  <c r="E16" i="123"/>
  <c r="H16" i="100"/>
  <c r="F19" i="66"/>
  <c r="E18" i="84"/>
  <c r="E36" i="66"/>
  <c r="C24" i="103"/>
  <c r="H23" i="100"/>
  <c r="P31" i="88"/>
  <c r="Q31" i="88"/>
  <c r="S31" i="88" s="1"/>
  <c r="H22" i="100"/>
  <c r="E22" i="123"/>
  <c r="H28" i="100"/>
  <c r="E28" i="123"/>
  <c r="P25" i="88"/>
  <c r="Q25" i="88"/>
  <c r="S25" i="88" s="1"/>
  <c r="V19" i="153"/>
  <c r="T36" i="153"/>
  <c r="M36" i="1"/>
  <c r="Q35" i="88"/>
  <c r="S35" i="88" s="1"/>
  <c r="P35" i="88"/>
  <c r="U36" i="153"/>
  <c r="V12" i="153"/>
  <c r="E22" i="84"/>
  <c r="J22" i="84" s="1"/>
  <c r="H13" i="100"/>
  <c r="H30" i="100"/>
  <c r="P33" i="88"/>
  <c r="Q33" i="88"/>
  <c r="S33" i="88" s="1"/>
  <c r="H31" i="100"/>
  <c r="E31" i="123"/>
  <c r="E21" i="138"/>
  <c r="H18" i="103"/>
  <c r="I18" i="103" s="1"/>
  <c r="Q18" i="103" s="1"/>
  <c r="P18" i="88"/>
  <c r="Q18" i="88"/>
  <c r="S18" i="88" s="1"/>
  <c r="Q23" i="88"/>
  <c r="P23" i="88"/>
  <c r="P34" i="88"/>
  <c r="Q34" i="88"/>
  <c r="S34" i="88" s="1"/>
  <c r="G16" i="88"/>
  <c r="F38" i="88"/>
  <c r="C33" i="100"/>
  <c r="F15" i="100"/>
  <c r="J15" i="4"/>
  <c r="J36" i="4" s="1"/>
  <c r="J38" i="4" s="1"/>
  <c r="H29" i="100"/>
  <c r="C30" i="103"/>
  <c r="P24" i="88"/>
  <c r="Q24" i="88"/>
  <c r="S24" i="88" s="1"/>
  <c r="P26" i="88"/>
  <c r="Q26" i="88"/>
  <c r="S26" i="88" s="1"/>
  <c r="F27" i="66"/>
  <c r="E26" i="84"/>
  <c r="J26" i="84" s="1"/>
  <c r="P28" i="88"/>
  <c r="Q28" i="88"/>
  <c r="S28" i="88" s="1"/>
  <c r="C25" i="103"/>
  <c r="H24" i="100"/>
  <c r="F21" i="100"/>
  <c r="C20" i="142" s="1"/>
  <c r="H20" i="100"/>
  <c r="P15" i="88"/>
  <c r="N38" i="88"/>
  <c r="Q15" i="88"/>
  <c r="E26" i="123"/>
  <c r="H26" i="100"/>
  <c r="P29" i="88"/>
  <c r="Q29" i="88"/>
  <c r="S29" i="88" s="1"/>
  <c r="E32" i="84"/>
  <c r="J32" i="84" s="1"/>
  <c r="F33" i="66"/>
  <c r="P16" i="88"/>
  <c r="Q16" i="88"/>
  <c r="S16" i="88" s="1"/>
  <c r="C15" i="103"/>
  <c r="H14" i="100"/>
  <c r="E37" i="75"/>
  <c r="V26" i="96"/>
  <c r="V27" i="96" s="1"/>
  <c r="F15" i="141"/>
  <c r="F33" i="141" s="1"/>
  <c r="C33" i="141"/>
  <c r="C53" i="7"/>
  <c r="F35" i="62"/>
  <c r="J38" i="86"/>
  <c r="H38" i="86"/>
  <c r="L45" i="7" l="1"/>
  <c r="L50" i="7"/>
  <c r="P38" i="7"/>
  <c r="Q14" i="7"/>
  <c r="Q38" i="7" s="1"/>
  <c r="N38" i="7"/>
  <c r="E51" i="7"/>
  <c r="E53" i="7" s="1"/>
  <c r="E45" i="7"/>
  <c r="O38" i="7"/>
  <c r="M45" i="7"/>
  <c r="M50" i="7"/>
  <c r="S19" i="88"/>
  <c r="S27" i="88"/>
  <c r="S23" i="88"/>
  <c r="V36" i="153"/>
  <c r="G38" i="88"/>
  <c r="P11" i="103"/>
  <c r="E13" i="138"/>
  <c r="C9" i="124"/>
  <c r="F9" i="124" s="1"/>
  <c r="H10" i="103"/>
  <c r="I10" i="103" s="1"/>
  <c r="Q10" i="103" s="1"/>
  <c r="E35" i="138"/>
  <c r="H32" i="103"/>
  <c r="I32" i="103" s="1"/>
  <c r="Q32" i="103" s="1"/>
  <c r="C31" i="124"/>
  <c r="F31" i="124" s="1"/>
  <c r="P33" i="103"/>
  <c r="P32" i="103"/>
  <c r="H31" i="103"/>
  <c r="I31" i="103" s="1"/>
  <c r="Q31" i="103" s="1"/>
  <c r="E34" i="138"/>
  <c r="C30" i="124"/>
  <c r="F30" i="124" s="1"/>
  <c r="H17" i="103"/>
  <c r="I17" i="103" s="1"/>
  <c r="Q17" i="103" s="1"/>
  <c r="C16" i="124"/>
  <c r="F16" i="124" s="1"/>
  <c r="P18" i="103"/>
  <c r="E20" i="138"/>
  <c r="C24" i="124"/>
  <c r="F24" i="124" s="1"/>
  <c r="P26" i="103"/>
  <c r="F33" i="100"/>
  <c r="C14" i="142"/>
  <c r="C32" i="142" s="1"/>
  <c r="P29" i="103"/>
  <c r="C27" i="124"/>
  <c r="F27" i="124" s="1"/>
  <c r="C11" i="124"/>
  <c r="F11" i="124" s="1"/>
  <c r="P13" i="103"/>
  <c r="P16" i="103"/>
  <c r="C14" i="124"/>
  <c r="F14" i="124" s="1"/>
  <c r="C29" i="124"/>
  <c r="F29" i="124" s="1"/>
  <c r="P31" i="103"/>
  <c r="C23" i="124"/>
  <c r="F23" i="124" s="1"/>
  <c r="P25" i="103"/>
  <c r="O37" i="75"/>
  <c r="Q37" i="75"/>
  <c r="G36" i="5"/>
  <c r="N37" i="75"/>
  <c r="N51" i="7" s="1"/>
  <c r="E11" i="84"/>
  <c r="J11" i="84" s="1"/>
  <c r="D36" i="66"/>
  <c r="H12" i="103"/>
  <c r="I12" i="103" s="1"/>
  <c r="Q12" i="103" s="1"/>
  <c r="E15" i="138"/>
  <c r="H30" i="103"/>
  <c r="I30" i="103" s="1"/>
  <c r="Q30" i="103" s="1"/>
  <c r="E33" i="138"/>
  <c r="E33" i="123"/>
  <c r="E27" i="138"/>
  <c r="H24" i="103"/>
  <c r="I24" i="103" s="1"/>
  <c r="Q24" i="103" s="1"/>
  <c r="S15" i="88"/>
  <c r="Q38" i="88"/>
  <c r="H21" i="100"/>
  <c r="C22" i="103"/>
  <c r="R40" i="88"/>
  <c r="P38" i="88"/>
  <c r="J18" i="84"/>
  <c r="H28" i="103"/>
  <c r="I28" i="103" s="1"/>
  <c r="Q28" i="103" s="1"/>
  <c r="E31" i="138"/>
  <c r="C16" i="103"/>
  <c r="H15" i="100"/>
  <c r="F36" i="66"/>
  <c r="E36" i="138"/>
  <c r="H33" i="103"/>
  <c r="I33" i="103" s="1"/>
  <c r="Q33" i="103" s="1"/>
  <c r="H15" i="103"/>
  <c r="I15" i="103" s="1"/>
  <c r="Q15" i="103" s="1"/>
  <c r="E18" i="138"/>
  <c r="E28" i="138"/>
  <c r="H25" i="103"/>
  <c r="I25" i="103" s="1"/>
  <c r="Q25" i="103" s="1"/>
  <c r="N50" i="7" l="1"/>
  <c r="N45" i="7"/>
  <c r="S38" i="88"/>
  <c r="S40" i="88" s="1"/>
  <c r="H33" i="100"/>
  <c r="C15" i="124"/>
  <c r="F15" i="124" s="1"/>
  <c r="P17" i="103"/>
  <c r="C21" i="124"/>
  <c r="F21" i="124" s="1"/>
  <c r="P23" i="103"/>
  <c r="Q40" i="88"/>
  <c r="J35" i="84"/>
  <c r="E35" i="84"/>
  <c r="H22" i="103"/>
  <c r="I22" i="103" s="1"/>
  <c r="Q22" i="103" s="1"/>
  <c r="E25" i="138"/>
  <c r="E19" i="138"/>
  <c r="H16" i="103"/>
  <c r="L53" i="7"/>
  <c r="M53" i="7"/>
  <c r="C34" i="103"/>
  <c r="F33" i="124" l="1"/>
  <c r="E37" i="138"/>
  <c r="H34" i="103"/>
  <c r="I16" i="103"/>
  <c r="Q16" i="103" s="1"/>
  <c r="C33" i="124"/>
  <c r="N53" i="7"/>
</calcChain>
</file>

<file path=xl/sharedStrings.xml><?xml version="1.0" encoding="utf-8"?>
<sst xmlns="http://schemas.openxmlformats.org/spreadsheetml/2006/main" count="4408" uniqueCount="1230">
  <si>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</si>
  <si>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</si>
  <si>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</si>
  <si>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</si>
  <si>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</si>
  <si>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</si>
  <si>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</si>
  <si>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</si>
  <si>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</si>
  <si>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</si>
  <si>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</si>
  <si>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</si>
  <si>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</si>
  <si>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</si>
  <si>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</si>
  <si>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</si>
  <si>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</si>
  <si>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</si>
  <si>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</si>
  <si>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</si>
  <si>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</si>
  <si>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</si>
  <si>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</si>
  <si>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</si>
  <si>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</si>
  <si>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</si>
  <si>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</si>
  <si>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</si>
  <si>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</si>
  <si>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</si>
  <si>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</si>
  <si>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</si>
  <si>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</si>
  <si>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</si>
  <si>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</si>
  <si>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</si>
  <si>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</si>
  <si>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</si>
  <si>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</si>
  <si>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</si>
  <si>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</si>
  <si>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</si>
  <si>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</si>
  <si>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</si>
  <si>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</si>
  <si>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</si>
  <si>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</si>
  <si>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</si>
  <si>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</si>
  <si>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</si>
  <si>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</si>
  <si>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</si>
  <si>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</si>
  <si>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</si>
  <si>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</si>
  <si>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</si>
  <si>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</si>
  <si>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</si>
  <si>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</si>
  <si>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</si>
  <si>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</si>
  <si>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</si>
  <si>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</si>
  <si>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</si>
  <si>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</si>
  <si>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</si>
  <si>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</si>
  <si>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</si>
  <si>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</si>
  <si>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</si>
  <si>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</si>
  <si>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</si>
  <si>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</si>
  <si>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</si>
  <si>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</si>
  <si>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</si>
  <si>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</si>
  <si>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</si>
  <si>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</si>
  <si>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</si>
  <si>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</si>
  <si>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</si>
  <si>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</si>
  <si>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</si>
  <si>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</si>
  <si>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</si>
  <si>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</si>
  <si>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</si>
  <si>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</si>
  <si>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</si>
  <si>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</si>
  <si>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</si>
  <si>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</si>
  <si>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</si>
  <si>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</si>
  <si>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</si>
  <si>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</si>
  <si>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</si>
  <si>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</si>
  <si>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</si>
  <si>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</si>
  <si>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</si>
  <si>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</si>
  <si>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</si>
  <si>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</si>
  <si>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</si>
  <si>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</si>
  <si>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</si>
  <si>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</si>
  <si>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</si>
  <si>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</si>
  <si>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</si>
  <si>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</si>
  <si>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</si>
  <si>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</si>
  <si>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</si>
  <si>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>Total            (col 3+4+5+6)</t>
  </si>
  <si>
    <t>Total       (col.8+9+10+11)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</si>
  <si>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</si>
  <si>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</si>
  <si>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</si>
  <si>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</si>
  <si>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</si>
  <si>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</si>
  <si>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</si>
  <si>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</si>
  <si>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</si>
  <si>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</si>
  <si>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</si>
  <si>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</si>
  <si>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</si>
  <si>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</si>
  <si>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</si>
  <si>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</si>
  <si>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</si>
  <si>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</si>
  <si>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</si>
  <si>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</si>
  <si>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</si>
  <si>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</si>
  <si>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</si>
  <si>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</si>
  <si>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</si>
  <si>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</si>
  <si>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</si>
  <si>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</si>
  <si>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</si>
  <si>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</si>
  <si>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</si>
  <si>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</si>
  <si>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</si>
  <si>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</si>
  <si>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</si>
  <si>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</si>
  <si>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</si>
  <si>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</si>
  <si>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</si>
  <si>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</si>
  <si>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</si>
  <si>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</si>
  <si>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</si>
  <si>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</si>
  <si>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</si>
  <si>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</si>
  <si>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</si>
  <si>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</si>
  <si>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</si>
  <si>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</si>
  <si>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</si>
  <si>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</si>
  <si>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</si>
  <si>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</si>
  <si>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</si>
  <si>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</si>
  <si>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</si>
  <si>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</si>
  <si>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</si>
  <si>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</si>
  <si>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</si>
  <si>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</si>
  <si>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</si>
  <si>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</si>
  <si>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</si>
  <si>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</si>
  <si>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</si>
  <si>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</si>
  <si>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</si>
  <si>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</si>
  <si>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</si>
  <si>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</si>
  <si>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</si>
  <si>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</si>
  <si>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</si>
  <si>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</si>
  <si>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</si>
  <si>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</si>
  <si>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</si>
  <si>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</si>
  <si>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</si>
  <si>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</si>
  <si>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</si>
  <si>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</si>
  <si>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</si>
  <si>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</si>
  <si>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</si>
  <si>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</si>
  <si>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</si>
  <si>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</si>
  <si>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</si>
  <si>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</si>
  <si>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</si>
  <si>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</si>
  <si>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</si>
  <si>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</si>
  <si>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</si>
  <si>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</si>
  <si>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</si>
  <si>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</si>
  <si>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</si>
  <si>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</si>
  <si>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</si>
  <si>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</si>
  <si>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</si>
  <si>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</si>
  <si>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</si>
  <si>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</si>
  <si>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</si>
  <si>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</si>
  <si>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</si>
  <si>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</si>
  <si>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</si>
  <si>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</si>
  <si>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</si>
  <si>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</si>
  <si>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</si>
  <si>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</si>
  <si>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</si>
  <si>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</si>
  <si>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</si>
  <si>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</si>
  <si>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</si>
  <si>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</si>
  <si>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</si>
  <si>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</si>
  <si>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</si>
  <si>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</si>
  <si>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</si>
  <si>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</si>
  <si>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</si>
  <si>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</si>
  <si>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</si>
  <si>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</si>
  <si>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</si>
  <si>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</si>
  <si>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</si>
  <si>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</si>
  <si>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</si>
  <si>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</si>
  <si>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</si>
  <si>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</si>
  <si>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</si>
  <si>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</si>
  <si>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</si>
  <si>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</si>
  <si>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</si>
  <si>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</si>
  <si>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</si>
  <si>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</si>
  <si>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</si>
  <si>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</si>
  <si>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</si>
  <si>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</si>
  <si>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</si>
  <si>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</si>
  <si>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</si>
  <si>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</si>
  <si>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</si>
  <si>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</si>
  <si>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</si>
  <si>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</si>
  <si>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</si>
  <si>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</si>
  <si>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</si>
  <si>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</si>
  <si>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</si>
  <si>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</si>
  <si>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</si>
  <si>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</si>
  <si>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</si>
  <si>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</si>
  <si>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</si>
  <si>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</si>
  <si>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</si>
  <si>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</si>
  <si>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</si>
  <si>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</si>
  <si>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</si>
  <si>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</si>
  <si>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</si>
  <si>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</si>
  <si>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</si>
  <si>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</si>
  <si>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</si>
  <si>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</si>
  <si>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</si>
  <si>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</si>
  <si>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</si>
  <si>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</si>
  <si>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</si>
  <si>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</si>
  <si>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</si>
  <si>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</si>
  <si>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</si>
  <si>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</si>
  <si>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</si>
  <si>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</si>
  <si>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</si>
  <si>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</si>
  <si>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</si>
  <si>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</si>
  <si>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</si>
  <si>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</si>
  <si>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</si>
  <si>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</si>
  <si>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</si>
  <si>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</si>
  <si>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</si>
  <si>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</si>
  <si>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</si>
  <si>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</si>
  <si>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</si>
  <si>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</si>
  <si>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</si>
  <si>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</si>
  <si>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</si>
  <si>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</si>
  <si>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</si>
  <si>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</si>
  <si>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</si>
  <si>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</si>
  <si>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</si>
  <si>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</si>
  <si>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</si>
  <si>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</si>
  <si>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</si>
  <si>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</si>
  <si>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</si>
  <si>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</si>
  <si>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</si>
  <si>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</si>
  <si>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</si>
  <si>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</si>
  <si>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</si>
  <si>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</si>
  <si>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</si>
  <si>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</si>
  <si>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</si>
  <si>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</si>
  <si>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</si>
  <si>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</si>
  <si>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</si>
  <si>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</si>
  <si>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</si>
  <si>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</si>
  <si>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</si>
  <si>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</si>
  <si>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</si>
  <si>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</si>
  <si>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</si>
  <si>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</si>
  <si>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</si>
  <si>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</si>
  <si>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</si>
  <si>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</si>
  <si>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</si>
  <si>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</si>
  <si>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</si>
  <si>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</si>
  <si>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</si>
  <si>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</si>
  <si>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</si>
  <si>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</si>
  <si>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</si>
  <si>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</si>
  <si>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</si>
  <si>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</si>
  <si>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</si>
  <si>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</si>
  <si>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</si>
  <si>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</si>
  <si>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</si>
  <si>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</si>
  <si>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</si>
  <si>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</si>
  <si>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</si>
  <si>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</si>
  <si>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</si>
  <si>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</si>
  <si>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</si>
  <si>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</si>
  <si>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</si>
  <si>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</si>
  <si>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</si>
  <si>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</si>
  <si>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</si>
  <si>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</si>
  <si>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</si>
  <si>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</si>
  <si>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</si>
  <si>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</si>
  <si>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</si>
  <si>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</si>
  <si>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</si>
  <si>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</si>
  <si>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</si>
  <si>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</si>
  <si>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</si>
  <si>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</si>
  <si>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</si>
  <si>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</si>
  <si>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</si>
  <si>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</si>
  <si>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</si>
  <si>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</si>
  <si>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</si>
  <si>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</si>
  <si>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</si>
  <si>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</si>
  <si>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</si>
  <si>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</si>
  <si>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</si>
  <si>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</si>
  <si>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</si>
  <si>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</si>
  <si>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</si>
  <si>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</si>
  <si>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</si>
  <si>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</si>
  <si>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</si>
  <si>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</si>
  <si>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</si>
  <si>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</si>
  <si>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</si>
  <si>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</si>
  <si>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</si>
  <si>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</si>
  <si>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</si>
  <si>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</si>
  <si>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</si>
  <si>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</si>
  <si>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</si>
  <si>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</si>
  <si>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</si>
  <si>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</si>
  <si>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</si>
  <si>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</si>
  <si>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</si>
  <si>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</si>
  <si>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</si>
  <si>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</si>
  <si>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</si>
  <si>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</si>
  <si>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</si>
  <si>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</si>
  <si>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</si>
  <si>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</si>
  <si>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</si>
  <si>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</si>
  <si>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</si>
  <si>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</si>
  <si>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</si>
  <si>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</si>
  <si>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</si>
  <si>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</si>
  <si>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</si>
  <si>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</si>
  <si>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</si>
  <si>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</si>
  <si>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</si>
  <si>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</si>
  <si>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</si>
  <si>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</si>
  <si>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</si>
  <si>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</si>
  <si>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</si>
  <si>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</si>
  <si>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</si>
  <si>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</si>
  <si>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</si>
  <si>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</si>
  <si>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</si>
  <si>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</si>
  <si>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</si>
  <si>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</si>
  <si>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</si>
  <si>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</si>
  <si>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</si>
  <si>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</si>
  <si>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</si>
  <si>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</si>
  <si>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</si>
  <si>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</si>
  <si>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</si>
  <si>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</si>
  <si>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</si>
  <si>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</si>
  <si>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</si>
  <si>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</si>
  <si>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</si>
  <si>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</si>
  <si>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</si>
  <si>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</si>
  <si>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</si>
  <si>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</si>
  <si>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</si>
  <si>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</si>
  <si>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</si>
  <si>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</si>
  <si>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</si>
  <si>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</si>
  <si>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</si>
  <si>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</si>
  <si>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</si>
  <si>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</si>
  <si>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</si>
  <si>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</si>
  <si>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</si>
  <si>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</si>
  <si>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</si>
  <si>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</si>
  <si>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</si>
  <si>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</si>
  <si>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</si>
  <si>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</si>
  <si>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</si>
  <si>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</si>
  <si>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</si>
  <si>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</si>
  <si>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</si>
  <si>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</si>
  <si>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</si>
  <si>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</si>
  <si>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</si>
  <si>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</si>
  <si>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</si>
  <si>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</si>
  <si>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</si>
  <si>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</si>
  <si>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</si>
  <si>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</si>
  <si>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</si>
  <si>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</si>
  <si>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</si>
  <si>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</si>
  <si>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</si>
  <si>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</si>
  <si>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</si>
  <si>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</si>
  <si>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</si>
  <si>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</si>
  <si>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</si>
  <si>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</si>
  <si>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</si>
  <si>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</si>
  <si>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</si>
  <si>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</si>
  <si>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</si>
  <si>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</si>
  <si>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</si>
  <si>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</si>
  <si>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</si>
  <si>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</si>
  <si>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</si>
  <si>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</si>
  <si>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</si>
  <si>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</si>
  <si>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</si>
  <si>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</si>
  <si>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</si>
  <si>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</si>
  <si>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</si>
  <si>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</si>
  <si>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</si>
  <si>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</si>
  <si>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</si>
  <si>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</si>
  <si>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</si>
  <si>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</si>
  <si>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</si>
  <si>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</si>
  <si>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</si>
  <si>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</si>
  <si>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</si>
  <si>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</si>
  <si>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</si>
  <si>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</si>
  <si>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</si>
  <si>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</si>
  <si>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</si>
  <si>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</si>
  <si>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</si>
  <si>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</si>
  <si>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</si>
  <si>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</si>
  <si>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</si>
  <si>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</si>
  <si>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</si>
  <si>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</si>
  <si>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</si>
  <si>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</si>
  <si>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</si>
  <si>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</si>
  <si>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</si>
  <si>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</si>
  <si>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</si>
  <si>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</si>
  <si>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</si>
  <si>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</si>
  <si>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</si>
  <si>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</si>
  <si>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</si>
  <si>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</si>
  <si>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</si>
  <si>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</si>
  <si>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</si>
  <si>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</si>
  <si>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</si>
  <si>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</si>
  <si>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</si>
  <si>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</si>
  <si>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</si>
  <si>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</si>
  <si>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</si>
  <si>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</si>
  <si>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</si>
  <si>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</si>
  <si>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</si>
  <si>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</si>
  <si>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</si>
  <si>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</si>
  <si>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</si>
  <si>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</si>
  <si>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</si>
  <si>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</si>
  <si>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</si>
  <si>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</si>
  <si>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</si>
  <si>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</si>
  <si>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</si>
  <si>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</si>
  <si>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</si>
  <si>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</si>
  <si>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</si>
  <si>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</si>
  <si>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</si>
  <si>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</si>
  <si>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</si>
  <si>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</si>
  <si>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</si>
  <si>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</si>
  <si>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</si>
  <si>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</si>
  <si>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</si>
  <si>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</si>
  <si>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</si>
  <si>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</si>
  <si>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</si>
  <si>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</si>
  <si>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</si>
  <si>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</si>
  <si>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</si>
  <si>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</si>
  <si>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</si>
  <si>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</si>
  <si>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</si>
  <si>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</si>
  <si>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</si>
  <si>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</si>
  <si>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</si>
  <si>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</si>
  <si>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</si>
  <si>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</si>
  <si>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</si>
  <si>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</si>
  <si>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</si>
  <si>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</si>
  <si>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</si>
  <si>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</si>
  <si>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</si>
  <si>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</si>
  <si>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</si>
  <si>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</si>
  <si>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</si>
  <si>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</si>
  <si>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</si>
  <si>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</si>
  <si>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</si>
  <si>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</si>
  <si>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</si>
  <si>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</si>
  <si>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</si>
  <si>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</si>
  <si>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</si>
  <si>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</si>
  <si>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</si>
  <si>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</si>
  <si>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</si>
  <si>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</si>
  <si>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</si>
  <si>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</si>
  <si>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</si>
  <si>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</si>
  <si>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</si>
  <si>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</si>
  <si>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</si>
  <si>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</si>
  <si>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</si>
  <si>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</si>
  <si>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</si>
  <si>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</si>
  <si>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</si>
  <si>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</si>
  <si>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</si>
  <si>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</si>
  <si>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</si>
  <si>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</si>
  <si>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</si>
  <si>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</si>
  <si>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</si>
  <si>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</si>
  <si>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</si>
  <si>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</si>
  <si>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</si>
  <si>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</si>
  <si>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</si>
  <si>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</si>
  <si>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</si>
  <si>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</si>
  <si>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</si>
  <si>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</si>
  <si>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</si>
  <si>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</si>
  <si>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</si>
  <si>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</si>
  <si>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</si>
  <si>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</si>
  <si>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</si>
  <si>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</si>
  <si>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</si>
  <si>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</si>
  <si>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</si>
  <si>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</si>
  <si>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</si>
  <si>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</si>
  <si>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</si>
  <si>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</si>
  <si>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</si>
  <si>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</si>
  <si>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</si>
  <si>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</si>
  <si>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</si>
  <si>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</si>
  <si>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</si>
  <si>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</si>
  <si>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</si>
  <si>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</si>
  <si>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</si>
  <si>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</si>
  <si>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</si>
  <si>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</si>
  <si>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</si>
  <si>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</si>
  <si>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</si>
  <si>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</si>
  <si>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</si>
  <si>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</si>
  <si>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</si>
  <si>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</si>
  <si>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</si>
  <si>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</si>
  <si>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</si>
  <si>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</si>
  <si>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</si>
  <si>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</si>
  <si>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</si>
  <si>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</si>
  <si>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</si>
  <si>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</si>
  <si>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</si>
  <si>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</si>
  <si>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</si>
  <si>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</si>
  <si>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</si>
  <si>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</si>
  <si>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</si>
  <si>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</si>
  <si>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</si>
  <si>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</si>
  <si>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</si>
  <si>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</si>
  <si>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</si>
  <si>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</si>
  <si>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</si>
  <si>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</si>
  <si>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</si>
  <si>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</si>
  <si>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</si>
  <si>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</si>
  <si>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</si>
  <si>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</si>
  <si>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</si>
  <si>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</si>
  <si>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</si>
  <si>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</si>
  <si>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</si>
  <si>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</si>
  <si>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</si>
  <si>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</si>
  <si>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</si>
  <si>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</si>
  <si>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</si>
  <si>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</si>
  <si>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</si>
  <si>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</si>
  <si>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</si>
  <si>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</si>
  <si>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</si>
  <si>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</si>
  <si>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</si>
  <si>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(For the Period 01.04.2019 to 31.12.2019)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</si>
  <si>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</si>
  <si>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</si>
  <si>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</si>
  <si>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</si>
  <si>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</si>
  <si>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</si>
  <si>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</si>
  <si>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</si>
  <si>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</si>
  <si>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</si>
  <si>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</si>
  <si>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</si>
  <si>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</si>
  <si>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</si>
  <si>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</si>
  <si>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</si>
  <si>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</si>
  <si>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</si>
  <si>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</si>
  <si>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</si>
  <si>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</si>
  <si>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</si>
  <si>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</si>
  <si>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</si>
  <si>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</si>
  <si>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</si>
  <si>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</si>
  <si>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</si>
  <si>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</si>
  <si>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</si>
  <si>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</si>
  <si>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</si>
  <si>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</si>
  <si>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</si>
  <si>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</si>
  <si>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</si>
  <si>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</si>
  <si>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</si>
  <si>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</si>
  <si>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</si>
  <si>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</si>
  <si>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</si>
  <si>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</si>
  <si>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</si>
  <si>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</si>
  <si>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</si>
  <si>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</si>
  <si>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</si>
  <si>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</si>
  <si>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</si>
  <si>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</si>
  <si>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</si>
  <si>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</si>
  <si>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</si>
  <si>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</si>
  <si>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</si>
  <si>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</si>
  <si>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</si>
  <si>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</si>
  <si>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</si>
  <si>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</si>
  <si>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</si>
  <si>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</si>
  <si>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</si>
  <si>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</si>
  <si>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</si>
  <si>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Ranchi</t>
  </si>
  <si>
    <t>Khunti</t>
  </si>
  <si>
    <t>Lohardaga</t>
  </si>
  <si>
    <t>Gumla</t>
  </si>
  <si>
    <t>Simdega</t>
  </si>
  <si>
    <t>East Singhbhum</t>
  </si>
  <si>
    <t>S. Kharsawan</t>
  </si>
  <si>
    <t>W. Singhbhum</t>
  </si>
  <si>
    <t>Palamu</t>
  </si>
  <si>
    <t>Latehar</t>
  </si>
  <si>
    <t>Garhwa</t>
  </si>
  <si>
    <t>Hazaribagh</t>
  </si>
  <si>
    <t>Ramgarh</t>
  </si>
  <si>
    <t>Koderma</t>
  </si>
  <si>
    <t>Chatra</t>
  </si>
  <si>
    <t>Giridih</t>
  </si>
  <si>
    <t>Dhanbad</t>
  </si>
  <si>
    <t>Bokaro</t>
  </si>
  <si>
    <t>Dumka</t>
  </si>
  <si>
    <t>Jamtara</t>
  </si>
  <si>
    <t>Sahibganj</t>
  </si>
  <si>
    <t>Pakur</t>
  </si>
  <si>
    <t>Gooda</t>
  </si>
  <si>
    <t>Deoghar</t>
  </si>
  <si>
    <t>State / UT: Jharkhand</t>
  </si>
  <si>
    <t xml:space="preserve">State / UT: Jharkhand </t>
  </si>
  <si>
    <t>State : Jharkhand</t>
  </si>
  <si>
    <t>State/UT : Jharkhand</t>
  </si>
  <si>
    <t>State / UT:  Jharkhand</t>
  </si>
  <si>
    <r>
      <t>State/UT: Jharkhand</t>
    </r>
    <r>
      <rPr>
        <b/>
        <u/>
        <sz val="10"/>
        <rFont val="Arial"/>
        <family val="2"/>
      </rPr>
      <t>___________________</t>
    </r>
  </si>
  <si>
    <t>STATE/UT: Jharkhand_________________</t>
  </si>
  <si>
    <t>State/UT: Jharkhand____________________</t>
  </si>
  <si>
    <t>STATE/UT : Jharkhand_________________</t>
  </si>
  <si>
    <t>* Note -</t>
  </si>
  <si>
    <t>1. Col-7, 8 , 9 includes budget released for drought affected areas also.</t>
  </si>
  <si>
    <t>2. col-11, 12, 13 includes matching MME state share.</t>
  </si>
  <si>
    <t>Egg/Seasonal Fruit</t>
  </si>
  <si>
    <t>Rs.6.00</t>
  </si>
  <si>
    <t>2019-20, Egg Days</t>
  </si>
  <si>
    <t>2020-21, Egg Days</t>
  </si>
  <si>
    <t>From 1/4/2019 to 31/12/2019 to till date</t>
  </si>
  <si>
    <t>2 days in a week i.e. Monday  &amp; Friday</t>
  </si>
  <si>
    <t>From 1/4/2019 to 31/12/2019 up till date.</t>
  </si>
  <si>
    <t>In-Cash Benefit Type Component                                                                                                                                                                (CCH Honorarium only)</t>
  </si>
  <si>
    <t>Yes</t>
  </si>
  <si>
    <t>-</t>
  </si>
  <si>
    <t xml:space="preserve">District and State level hearing is in Process </t>
  </si>
  <si>
    <t>Pulse 1 (Arhar)</t>
  </si>
  <si>
    <t>Pulse 2 (Masoor)</t>
  </si>
  <si>
    <t>No demand</t>
  </si>
  <si>
    <t>Yet not Declared</t>
  </si>
  <si>
    <t>Godda</t>
  </si>
  <si>
    <t>Sahebganj</t>
  </si>
  <si>
    <t xml:space="preserve">NOT APPLICABLE  </t>
  </si>
  <si>
    <t>State module</t>
  </si>
  <si>
    <t>1. Out of 6478 units (Col.-10), amount for 3500 units i.e. Rs. 5147.93 lakh of Kitchen Shed could not be drawn from treasury.</t>
  </si>
  <si>
    <t>2. Amount for 2665 units i.e. Rs. 3657.10 lakh has been returned to JSMDMA bank account. Rest amount for 313 units (6478-3500-2665), i.e. Rs. 187.80 is under process to be returned by the district.</t>
  </si>
  <si>
    <t>No Complain of discrimination of any kind in MDMS during 01.04.2018 to 31.03.2019.</t>
  </si>
  <si>
    <t>State MDM Authority</t>
  </si>
  <si>
    <t>YES. District MDM Cell</t>
  </si>
  <si>
    <t>YES. Block MDM Cell</t>
  </si>
  <si>
    <t>YES. State MDM Director and State MDM Nodal Officer</t>
  </si>
  <si>
    <t>YES. DSE cum Nodal Officer MDM</t>
  </si>
  <si>
    <t>YES. BEEO cum Nodal Officer MDM</t>
  </si>
  <si>
    <t>YES</t>
  </si>
  <si>
    <t xml:space="preserve">ISKCON </t>
  </si>
  <si>
    <t>ISKCON</t>
  </si>
  <si>
    <t>20 km</t>
  </si>
  <si>
    <t>Director (JSMDMA)</t>
  </si>
  <si>
    <t>Deputy Director (JSMDMA)</t>
  </si>
  <si>
    <t>Co-ordinator</t>
  </si>
  <si>
    <t xml:space="preserve">DSE </t>
  </si>
  <si>
    <t>BEEO'S</t>
  </si>
  <si>
    <t>District Nodal Officer</t>
  </si>
  <si>
    <t>Accountant   (On Deputation)</t>
  </si>
  <si>
    <t>Clerk   (On Deputation)</t>
  </si>
  <si>
    <t>Computer Operator</t>
  </si>
  <si>
    <t>Soft were developer</t>
  </si>
  <si>
    <t>Asst. Programme Officer</t>
  </si>
  <si>
    <t>OSD</t>
  </si>
  <si>
    <t>Poen (Daily wages)</t>
  </si>
  <si>
    <t>KVK, Ranchi</t>
  </si>
  <si>
    <t>KVK, Khunti</t>
  </si>
  <si>
    <t>KVK, Lohardaga</t>
  </si>
  <si>
    <t>KVK, Gumla</t>
  </si>
  <si>
    <t>KVK, Simdega</t>
  </si>
  <si>
    <t>KVK, East Singhbhum</t>
  </si>
  <si>
    <t>KVK, S. Kharsawan</t>
  </si>
  <si>
    <t>KVK, W. Singhbhum</t>
  </si>
  <si>
    <t>KVK, Palamu</t>
  </si>
  <si>
    <t>KVK, Latehar</t>
  </si>
  <si>
    <t>KVK, Garhwa</t>
  </si>
  <si>
    <t>KVK, Hazaribagh</t>
  </si>
  <si>
    <t>KVK, Ramgarh</t>
  </si>
  <si>
    <t>KVK, Koderma</t>
  </si>
  <si>
    <t>KVK, Chatra</t>
  </si>
  <si>
    <t>KVK, Giridih</t>
  </si>
  <si>
    <t>KVK, Dhanbad</t>
  </si>
  <si>
    <t>KVK, Bokaro</t>
  </si>
  <si>
    <t>KVK, Dumka</t>
  </si>
  <si>
    <t>KVK, Jamtara</t>
  </si>
  <si>
    <t>KVK, Sahibganj</t>
  </si>
  <si>
    <t>KVK, Pakur</t>
  </si>
  <si>
    <t>KVK, Gooda</t>
  </si>
  <si>
    <t>KVK, Deoghar</t>
  </si>
  <si>
    <t>* For 17532 schools budget is approved for 19-20. Funds to be released at central level is pending.</t>
  </si>
  <si>
    <t>1 day Refreshed training</t>
  </si>
  <si>
    <t>District Authority</t>
  </si>
  <si>
    <t>Rallies during School Chalein Chalayein Abhiyan</t>
  </si>
  <si>
    <t>Drought</t>
  </si>
  <si>
    <t>No Demand</t>
  </si>
  <si>
    <t>Pri</t>
  </si>
  <si>
    <t>Upri</t>
  </si>
  <si>
    <t>Pri.</t>
  </si>
  <si>
    <t>U.Pri</t>
  </si>
  <si>
    <t>No. of Cooks</t>
  </si>
  <si>
    <t>e-transfer</t>
  </si>
  <si>
    <t>Primary + Upper Primary</t>
  </si>
  <si>
    <t>Kitchen Devices (Replacement)</t>
  </si>
  <si>
    <t>Primary + Upper Primary (Drought)</t>
  </si>
  <si>
    <t>Central Share (Regular)</t>
  </si>
  <si>
    <t>Sl.No.</t>
  </si>
  <si>
    <t>No. of Children</t>
  </si>
  <si>
    <t>Food grains</t>
  </si>
  <si>
    <t xml:space="preserve">C.Cost </t>
  </si>
  <si>
    <t>TC</t>
  </si>
  <si>
    <t>CoF</t>
  </si>
  <si>
    <t>Honorarium</t>
  </si>
  <si>
    <t>STC (NCLP)</t>
  </si>
  <si>
    <t>State Share (Regular)</t>
  </si>
  <si>
    <t>Total Central + State (Regular)</t>
  </si>
  <si>
    <t>Recurring</t>
  </si>
  <si>
    <t>Non-recurring</t>
  </si>
  <si>
    <t xml:space="preserve">Central </t>
  </si>
  <si>
    <t>Demand for 2020-21</t>
  </si>
  <si>
    <t>Yet not declared</t>
  </si>
  <si>
    <t>The Concept of "Tithi Bhojan", in the state is celebrating in the occasion of Saraswati Pooja and Gandhi Jayanti by the community providing puri, sabji, kheer and bundiya.</t>
  </si>
  <si>
    <t>COF</t>
  </si>
  <si>
    <t>HONC</t>
  </si>
  <si>
    <t>HONS</t>
  </si>
  <si>
    <t>CCC</t>
  </si>
  <si>
    <t>CCS</t>
  </si>
  <si>
    <t>MMEC</t>
  </si>
  <si>
    <t>MMES</t>
  </si>
  <si>
    <t>Total-</t>
  </si>
  <si>
    <t>Grand Total-</t>
  </si>
  <si>
    <t>*</t>
  </si>
  <si>
    <t>* Note - Fund for 30497 kitchen device sanctioned in FY 2019-20 for replacement, the amount is yet not released from GoI.</t>
  </si>
  <si>
    <t>ranchi</t>
  </si>
  <si>
    <t>khunti</t>
  </si>
  <si>
    <t>lohardaga</t>
  </si>
  <si>
    <t>gumla</t>
  </si>
  <si>
    <t>simdega</t>
  </si>
  <si>
    <t>east</t>
  </si>
  <si>
    <t>seraikella</t>
  </si>
  <si>
    <t>west</t>
  </si>
  <si>
    <t>pala</t>
  </si>
  <si>
    <t>late</t>
  </si>
  <si>
    <t>garh</t>
  </si>
  <si>
    <t>haz</t>
  </si>
  <si>
    <t>ramg</t>
  </si>
  <si>
    <t>kod</t>
  </si>
  <si>
    <t>chat</t>
  </si>
  <si>
    <t>giri</t>
  </si>
  <si>
    <t>dhan</t>
  </si>
  <si>
    <t>boka</t>
  </si>
  <si>
    <t>dum</t>
  </si>
  <si>
    <t>jam</t>
  </si>
  <si>
    <t>sahi</t>
  </si>
  <si>
    <t>paku</t>
  </si>
  <si>
    <t>godda</t>
  </si>
  <si>
    <t>deog</t>
  </si>
  <si>
    <t>SUNTECH, TUPUDANA, Ranchi</t>
  </si>
  <si>
    <t>Social Audit Unit Jharhand</t>
  </si>
  <si>
    <t>3. There was no sanction of kitchen shed in FY 2019-20. Previously these kitchen sheds was sanctioned and 1730 were procured during the the FY 2019-20.</t>
  </si>
  <si>
    <t>nl</t>
  </si>
  <si>
    <t>Nill</t>
  </si>
  <si>
    <t>2-15/2014 EE.5(MDM-1-2)</t>
  </si>
  <si>
    <t>Complied</t>
  </si>
  <si>
    <t>Complainent is completely fake and the complain is manupulated.</t>
  </si>
  <si>
    <t>Seraikela- kharsawan</t>
  </si>
  <si>
    <t>2-39/2014 EE.5(MDM-1-2)</t>
  </si>
  <si>
    <t>Carelessness of 2 CCH and they have been discharged from duty.</t>
  </si>
  <si>
    <t>2-56/2015 EE.5(MDM-1-2)</t>
  </si>
  <si>
    <t>Direction has been given to the District vide letter No. 182 dated 5.09.15, 277 dated 17.6.16 &amp; 379 dated 10.8.17</t>
  </si>
  <si>
    <t>2-37/2016 EE.5(MDM-1-2)</t>
  </si>
  <si>
    <t>Direction has been given to the all District vide letter No. 277 dated 17.6.16 &amp; 379 dated 10.8.17 reg- tasting of food item undert MDM Scheme.</t>
  </si>
  <si>
    <t>2-50/2014 EE.5(MDM-1-2)</t>
  </si>
  <si>
    <t>2-36/2013 EE.5(MDM-1-2)</t>
  </si>
  <si>
    <t>BEEO Mahender Ram has been transferred and teacher exempted  from Implementation of MDM</t>
  </si>
  <si>
    <t>Complain was baselessed. It was due to family dispute, hence disposed off.</t>
  </si>
  <si>
    <t>Others (Irregularity)</t>
  </si>
  <si>
    <t>2-95/2015 EE.5(MDM-1-2)</t>
  </si>
  <si>
    <t>Arrer payment regarding implementation of MDM has been paid to the claiment Sri Dhirender Nath Mahto and disposed off.</t>
  </si>
  <si>
    <t>17-5/2016 EE.5(MDM-1-2)</t>
  </si>
  <si>
    <t>FIR has been lodged against Incharge H.M. of NPS Puto, Domchanch, Koderma.</t>
  </si>
  <si>
    <t>N.A.</t>
  </si>
  <si>
    <t>* 8 Kitchen devices yet not drawn from State treasury</t>
  </si>
  <si>
    <t>Flexi fund @ 5% for new interventions</t>
  </si>
  <si>
    <t>PROPOSAL FOR 2020-21</t>
  </si>
  <si>
    <t>PAB Approval for 2019-20</t>
  </si>
  <si>
    <t>Performance for 2019-20</t>
  </si>
  <si>
    <t>Proposal for 2020-21</t>
  </si>
  <si>
    <t>Institutions</t>
  </si>
  <si>
    <t>Children</t>
  </si>
  <si>
    <t>Working Days</t>
  </si>
  <si>
    <t>Cook cum Helper</t>
  </si>
  <si>
    <t>Children (Pri)</t>
  </si>
  <si>
    <t>Nil</t>
  </si>
  <si>
    <t>Children (U Pri)</t>
  </si>
  <si>
    <t>Non Recurring</t>
  </si>
  <si>
    <t>Kitchen cum Store</t>
  </si>
  <si>
    <t>Kitchen Device (new)</t>
  </si>
  <si>
    <t>Kitchen-cum Store (Repair)</t>
  </si>
  <si>
    <t>Central Assistance (Rs. in Crore)</t>
  </si>
  <si>
    <t>Regular</t>
  </si>
  <si>
    <t>Rs. 348.75 cr</t>
  </si>
  <si>
    <t>Rs. 355.46 cr</t>
  </si>
  <si>
    <t>Rs. 25.706 cr</t>
  </si>
  <si>
    <t>Kitchen cum Store (Repair)</t>
  </si>
  <si>
    <t>Rs. 7.27 cr</t>
  </si>
  <si>
    <t xml:space="preserve">Kitchen Device (new) </t>
  </si>
  <si>
    <t>Rs. 28.86 cr</t>
  </si>
  <si>
    <t>Rs. 374.456 cr</t>
  </si>
  <si>
    <t>Rs. 391.59 cr</t>
  </si>
  <si>
    <t>Government/UT Administration of ____________</t>
  </si>
  <si>
    <t>Secretary of the Nodal Department</t>
  </si>
  <si>
    <t>Governament/UT Administration of</t>
  </si>
  <si>
    <t>Governament/UT Administration of_____</t>
  </si>
  <si>
    <t>s</t>
  </si>
  <si>
    <t>Included in Table AT-8 as per the approval of PAB</t>
  </si>
  <si>
    <t>* Note - In Col. 18 of this table includes schools merged, zero enrollement, close down of new model schools also so no demand required. At Present no demand required.</t>
  </si>
  <si>
    <t>* Note- The state does not require any kitchen at present.</t>
  </si>
  <si>
    <t>Note- 1. The matter of deduction of allotment of Rs. 1456.52 lakh was communicated to GOI Vide letter no.-382, dated-04.09.2019 for consideration and release of fund.</t>
  </si>
  <si>
    <t>2. The honorarium of CCH has been paid for 8 months by Dec-2019.</t>
  </si>
  <si>
    <t>* Note - Due to merger of schools the no. of schools in district has reduced to 35773 . The no.of eligible schools is shown at sl. no. 6.</t>
  </si>
  <si>
    <t xml:space="preserve">              Date________</t>
  </si>
  <si>
    <t xml:space="preserve">under MME </t>
  </si>
  <si>
    <t>Financial Year 2020-21</t>
  </si>
  <si>
    <r>
      <t>1.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4"/>
        <rFont val="Times New Roman"/>
        <family val="1"/>
      </rPr>
      <t xml:space="preserve">Proposal for Recurring expenditure for salary of Office staffs </t>
    </r>
    <r>
      <rPr>
        <b/>
        <sz val="11"/>
        <rFont val="Times New Roman"/>
        <family val="1"/>
      </rPr>
      <t>(Rs. in lakh)</t>
    </r>
  </si>
  <si>
    <t>Sl No.</t>
  </si>
  <si>
    <t>Name of post</t>
  </si>
  <si>
    <t>Qualification</t>
  </si>
  <si>
    <t>No. of post</t>
  </si>
  <si>
    <t>Monthly Honorarium (in Lakh) (Fixed)</t>
  </si>
  <si>
    <t>Annual     Honorarium (in Lakh)</t>
  </si>
  <si>
    <t>Type of selection</t>
  </si>
  <si>
    <t>Director, Authority MDM</t>
  </si>
  <si>
    <r>
      <t xml:space="preserve">I A S </t>
    </r>
    <r>
      <rPr>
        <sz val="10"/>
        <color rgb="FF000000"/>
        <rFont val="DevLys 010"/>
      </rPr>
      <t>(</t>
    </r>
    <r>
      <rPr>
        <sz val="13"/>
        <color rgb="FF000000"/>
        <rFont val="DevLys 010"/>
      </rPr>
      <t>la;qDr lfpo ls U;wu uk gks</t>
    </r>
    <r>
      <rPr>
        <sz val="10"/>
        <color rgb="FF000000"/>
        <rFont val="DevLys 010"/>
      </rPr>
      <t>)</t>
    </r>
  </si>
  <si>
    <t>vius osrueku eas</t>
  </si>
  <si>
    <t>Deputation</t>
  </si>
  <si>
    <t>Deputy Director (Admn)/</t>
  </si>
  <si>
    <r>
      <t xml:space="preserve">J A S/J E S </t>
    </r>
    <r>
      <rPr>
        <sz val="10"/>
        <color rgb="FF000000"/>
        <rFont val="DevLys 010"/>
      </rPr>
      <t>(mi lfpo@mi funs'kd ls U;wu uk gks)</t>
    </r>
  </si>
  <si>
    <t>Under Director Jharkhand State MDM Authority</t>
  </si>
  <si>
    <t>State MIS In charge/ Programmer</t>
  </si>
  <si>
    <t>MBA</t>
  </si>
  <si>
    <t>Contract</t>
  </si>
  <si>
    <t>Private Secretary / Personal Assistant to Director.</t>
  </si>
  <si>
    <t>Graduate with Stenography and basic knowledge of computer/ Retired experienced govt. official</t>
  </si>
  <si>
    <t>APO (Assistant Project Officer)</t>
  </si>
  <si>
    <t>Account officer</t>
  </si>
  <si>
    <t>M. Com</t>
  </si>
  <si>
    <t>Data entry operator cum Assistant.</t>
  </si>
  <si>
    <t>DCA</t>
  </si>
  <si>
    <t>Peon</t>
  </si>
  <si>
    <t>Outsourcing for office work</t>
  </si>
  <si>
    <t>Outsourcing</t>
  </si>
  <si>
    <t>State Total -</t>
  </si>
  <si>
    <t>District level</t>
  </si>
  <si>
    <t>Under DSE</t>
  </si>
  <si>
    <t>Computer Data entry operator Cum Assistant.</t>
  </si>
  <si>
    <t>District Total -</t>
  </si>
  <si>
    <t>Block level</t>
  </si>
  <si>
    <t>Computer Data entry operator Cum Assistant</t>
  </si>
  <si>
    <t>Block Total -</t>
  </si>
  <si>
    <t>Grand Total -</t>
  </si>
  <si>
    <t>2. Proposal for Recurring expenditure for Management Monitoring and Evaluation of MDM. (Rs. in lakh)</t>
  </si>
  <si>
    <t>Sl. No</t>
  </si>
  <si>
    <t>Levels</t>
  </si>
  <si>
    <t xml:space="preserve">Items </t>
  </si>
  <si>
    <t>No of Units</t>
  </si>
  <si>
    <t>Annual  Expenditure</t>
  </si>
  <si>
    <t>(Recurring)</t>
  </si>
  <si>
    <t>Vehicles, Stationery, Seminars, Meetings, documentation and repair maintenance, Monitoring, Telephone etc.</t>
  </si>
  <si>
    <t>Stationery, monitoring and strengthen of Dist. MDM Cell.</t>
  </si>
  <si>
    <t>24@ Rs. 150,000 per Year/District</t>
  </si>
  <si>
    <t>Block</t>
  </si>
  <si>
    <t>Fuel, Stationery, Electricity, Telephone, monitoring etc.</t>
  </si>
  <si>
    <t>262 @ Rs. 30,000 per Year/Block</t>
  </si>
  <si>
    <t>Stationery and SMS.</t>
  </si>
  <si>
    <t>35616 schools @340/school for SMS</t>
  </si>
  <si>
    <t>Social Audit of MDM</t>
  </si>
  <si>
    <t>5000 @ Rs.1700 per school</t>
  </si>
  <si>
    <t>Cluster</t>
  </si>
  <si>
    <t>Cook-cum-helper one day refresher training</t>
  </si>
  <si>
    <t>79591cooks &amp; 35616 sanyojika @ 100/ head</t>
  </si>
  <si>
    <t>C.A. Audit for FY 2018-19 &amp; 2019-20</t>
  </si>
  <si>
    <t>@15000.00</t>
  </si>
  <si>
    <t>24@2500 for each District</t>
  </si>
  <si>
    <t>262@500for each Block</t>
  </si>
  <si>
    <t>Panchayat</t>
  </si>
  <si>
    <t>262@500for each Panchayat</t>
  </si>
  <si>
    <t>Total -</t>
  </si>
  <si>
    <t xml:space="preserve">2. Proposal for Non-Recurring expenditure for Management Monitoring and Evaluation of MDM (Rs. in lakh) </t>
  </si>
  <si>
    <t>Sl.No</t>
  </si>
  <si>
    <t>Items</t>
  </si>
  <si>
    <t xml:space="preserve">Annual  Expenditure </t>
  </si>
  <si>
    <t xml:space="preserve">State </t>
  </si>
  <si>
    <t xml:space="preserve">Establishment of State level MDM authority (furniture, fixtures and other equipments). </t>
  </si>
  <si>
    <t xml:space="preserve">1 (one time) </t>
  </si>
  <si>
    <t xml:space="preserve">School </t>
  </si>
  <si>
    <t xml:space="preserve">Apron and Cap for cooks-cum-helpers </t>
  </si>
  <si>
    <t xml:space="preserve">79591cooks @ 500/ set </t>
  </si>
  <si>
    <r>
      <t xml:space="preserve">Summary of MME Budget </t>
    </r>
    <r>
      <rPr>
        <b/>
        <sz val="12"/>
        <rFont val="Times New Roman"/>
        <family val="1"/>
      </rPr>
      <t>(Rs. in lakh)</t>
    </r>
  </si>
  <si>
    <t>Manpower for MDM Authority</t>
  </si>
  <si>
    <t>Recurring Expenditure</t>
  </si>
  <si>
    <t>Non-recurring Expenditure</t>
  </si>
  <si>
    <t>Total -</t>
  </si>
  <si>
    <t>(Aditya Kumar Anand)</t>
  </si>
  <si>
    <t>Director, JSMDMA.</t>
  </si>
  <si>
    <t>e</t>
  </si>
  <si>
    <t>State to District (days)</t>
  </si>
  <si>
    <t>District to Schools (days)</t>
  </si>
  <si>
    <t>State to School</t>
  </si>
  <si>
    <t>Lifting</t>
  </si>
  <si>
    <t>Pry</t>
  </si>
  <si>
    <t>U.Pry</t>
  </si>
  <si>
    <t>Utilization of FG</t>
  </si>
  <si>
    <t>NCLP</t>
  </si>
  <si>
    <t>FG - Allocation</t>
  </si>
  <si>
    <t>cost of fg</t>
  </si>
  <si>
    <t>UB</t>
  </si>
  <si>
    <t>OB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</si>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</sst>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132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Calibri"/>
      <family val="2"/>
    </font>
    <font>
      <b/>
      <sz val="2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b/>
      <i/>
      <sz val="14"/>
      <name val="Arial"/>
      <family val="2"/>
    </font>
    <font>
      <sz val="10"/>
      <name val="Calibri"/>
      <family val="2"/>
    </font>
    <font>
      <b/>
      <i/>
      <sz val="24"/>
      <color indexed="8"/>
      <name val="Calibri"/>
      <family val="2"/>
    </font>
    <font>
      <sz val="9"/>
      <name val="Calibri"/>
      <family val="2"/>
    </font>
    <font>
      <b/>
      <u/>
      <sz val="16"/>
      <name val="Arial"/>
      <family val="2"/>
    </font>
    <font>
      <sz val="10"/>
      <color indexed="8"/>
      <name val="Arial"/>
      <family val="2"/>
    </font>
    <font>
      <b/>
      <i/>
      <sz val="36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i/>
      <sz val="1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0"/>
      <name val="Arial"/>
      <family val="2"/>
    </font>
    <font>
      <b/>
      <sz val="10"/>
      <color rgb="FFFF0000"/>
      <name val="Calibri"/>
      <family val="2"/>
      <scheme val="minor"/>
    </font>
    <font>
      <b/>
      <i/>
      <u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0"/>
      <color theme="0"/>
      <name val="Arial"/>
      <family val="2"/>
    </font>
    <font>
      <sz val="10"/>
      <color indexed="8"/>
      <name val="Calibri"/>
      <family val="2"/>
    </font>
    <font>
      <b/>
      <sz val="13"/>
      <color theme="1"/>
      <name val="Kruti Dev 010"/>
    </font>
    <font>
      <b/>
      <sz val="12"/>
      <color theme="1"/>
      <name val="Kruti Dev 010"/>
    </font>
    <font>
      <b/>
      <sz val="1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6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DevLys 010"/>
    </font>
    <font>
      <sz val="13"/>
      <color rgb="FF000000"/>
      <name val="DevLys 010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b/>
      <sz val="2"/>
      <name val="Times New Roman"/>
      <family val="1"/>
    </font>
    <font>
      <sz val="19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</cellStyleXfs>
  <cellXfs count="126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17" fillId="0" borderId="2" xfId="0" quotePrefix="1" applyFont="1" applyBorder="1" applyAlignment="1">
      <alignment horizontal="center" vertical="top" wrapText="1"/>
    </xf>
    <xf numFmtId="0" fontId="7" fillId="0" borderId="0" xfId="0" quotePrefix="1" applyFont="1" applyBorder="1" applyAlignment="1">
      <alignment horizontal="center"/>
    </xf>
    <xf numFmtId="0" fontId="19" fillId="0" borderId="0" xfId="8" applyFont="1"/>
    <xf numFmtId="0" fontId="20" fillId="0" borderId="2" xfId="8" applyFont="1" applyBorder="1" applyAlignment="1">
      <alignment horizontal="center" vertical="top" wrapText="1"/>
    </xf>
    <xf numFmtId="0" fontId="67" fillId="0" borderId="0" xfId="8"/>
    <xf numFmtId="0" fontId="67" fillId="0" borderId="0" xfId="8" applyAlignment="1">
      <alignment horizontal="left"/>
    </xf>
    <xf numFmtId="0" fontId="21" fillId="0" borderId="0" xfId="8" applyFont="1" applyAlignment="1">
      <alignment horizontal="left"/>
    </xf>
    <xf numFmtId="0" fontId="67" fillId="0" borderId="7" xfId="8" applyBorder="1" applyAlignment="1">
      <alignment horizontal="center"/>
    </xf>
    <xf numFmtId="0" fontId="18" fillId="0" borderId="0" xfId="8" applyFont="1"/>
    <xf numFmtId="0" fontId="18" fillId="0" borderId="0" xfId="8" applyFont="1" applyAlignment="1">
      <alignment horizontal="center"/>
    </xf>
    <xf numFmtId="0" fontId="2" fillId="0" borderId="0" xfId="0" applyFont="1" applyAlignment="1">
      <alignment vertical="top" wrapText="1"/>
    </xf>
    <xf numFmtId="0" fontId="22" fillId="0" borderId="3" xfId="8" applyFont="1" applyBorder="1" applyAlignment="1">
      <alignment horizontal="center" vertical="top" wrapText="1"/>
    </xf>
    <xf numFmtId="0" fontId="22" fillId="0" borderId="2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left"/>
    </xf>
    <xf numFmtId="0" fontId="7" fillId="0" borderId="0" xfId="22"/>
    <xf numFmtId="0" fontId="12" fillId="0" borderId="0" xfId="22" applyFont="1" applyAlignment="1">
      <alignment horizontal="center"/>
    </xf>
    <xf numFmtId="0" fontId="5" fillId="0" borderId="0" xfId="22" applyFont="1" applyAlignment="1">
      <alignment horizontal="center"/>
    </xf>
    <xf numFmtId="0" fontId="4" fillId="0" borderId="0" xfId="22" applyFont="1"/>
    <xf numFmtId="0" fontId="2" fillId="0" borderId="2" xfId="22" applyFont="1" applyBorder="1" applyAlignment="1">
      <alignment horizontal="center" vertical="top" wrapText="1"/>
    </xf>
    <xf numFmtId="0" fontId="2" fillId="0" borderId="4" xfId="22" applyFont="1" applyBorder="1" applyAlignment="1">
      <alignment horizontal="center" vertical="top" wrapText="1"/>
    </xf>
    <xf numFmtId="0" fontId="7" fillId="0" borderId="2" xfId="22" applyBorder="1" applyAlignment="1">
      <alignment horizontal="center"/>
    </xf>
    <xf numFmtId="0" fontId="7" fillId="0" borderId="2" xfId="22" applyBorder="1"/>
    <xf numFmtId="0" fontId="6" fillId="0" borderId="0" xfId="22" applyFont="1"/>
    <xf numFmtId="0" fontId="2" fillId="0" borderId="0" xfId="22" applyFont="1"/>
    <xf numFmtId="0" fontId="3" fillId="0" borderId="0" xfId="22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8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8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/>
    </xf>
    <xf numFmtId="0" fontId="6" fillId="0" borderId="0" xfId="0" applyFont="1" applyBorder="1"/>
    <xf numFmtId="0" fontId="20" fillId="0" borderId="3" xfId="8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2" applyFont="1" applyAlignment="1">
      <alignment horizontal="center"/>
    </xf>
    <xf numFmtId="0" fontId="18" fillId="0" borderId="2" xfId="8" applyFont="1" applyBorder="1" applyAlignment="1">
      <alignment horizontal="center"/>
    </xf>
    <xf numFmtId="0" fontId="18" fillId="0" borderId="0" xfId="8" applyFont="1" applyAlignment="1">
      <alignment horizontal="center" vertical="top" wrapText="1"/>
    </xf>
    <xf numFmtId="0" fontId="18" fillId="0" borderId="2" xfId="8" applyFont="1" applyBorder="1" applyAlignment="1">
      <alignment horizontal="center" vertical="top" wrapText="1"/>
    </xf>
    <xf numFmtId="0" fontId="11" fillId="0" borderId="0" xfId="22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22" applyFont="1" applyFill="1" applyBorder="1" applyAlignment="1">
      <alignment horizontal="center" vertical="top" wrapText="1"/>
    </xf>
    <xf numFmtId="0" fontId="7" fillId="0" borderId="0" xfId="22" applyAlignment="1">
      <alignment horizontal="left"/>
    </xf>
    <xf numFmtId="0" fontId="6" fillId="0" borderId="0" xfId="22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8" applyFont="1"/>
    <xf numFmtId="0" fontId="2" fillId="0" borderId="2" xfId="8" applyFont="1" applyBorder="1"/>
    <xf numFmtId="0" fontId="7" fillId="0" borderId="2" xfId="8" applyFont="1" applyBorder="1" applyAlignment="1"/>
    <xf numFmtId="0" fontId="7" fillId="0" borderId="2" xfId="8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8" applyFont="1" applyBorder="1" applyAlignment="1">
      <alignment horizontal="center" vertical="top" wrapText="1"/>
    </xf>
    <xf numFmtId="0" fontId="24" fillId="0" borderId="0" xfId="8" applyFont="1" applyAlignment="1">
      <alignment horizontal="center"/>
    </xf>
    <xf numFmtId="0" fontId="2" fillId="0" borderId="11" xfId="22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22" fillId="0" borderId="5" xfId="8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0" borderId="0" xfId="22" applyFont="1"/>
    <xf numFmtId="0" fontId="2" fillId="0" borderId="2" xfId="0" applyFont="1" applyBorder="1" applyAlignment="1">
      <alignment horizontal="center" vertical="center"/>
    </xf>
    <xf numFmtId="0" fontId="17" fillId="0" borderId="2" xfId="22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22" applyFont="1" applyBorder="1" applyAlignment="1">
      <alignment horizontal="left" vertical="center" wrapText="1"/>
    </xf>
    <xf numFmtId="0" fontId="2" fillId="0" borderId="2" xfId="22" applyFont="1" applyBorder="1" applyAlignment="1">
      <alignment horizontal="left" vertical="center"/>
    </xf>
    <xf numFmtId="0" fontId="7" fillId="0" borderId="0" xfId="23"/>
    <xf numFmtId="0" fontId="6" fillId="0" borderId="0" xfId="23" applyFont="1" applyAlignment="1"/>
    <xf numFmtId="0" fontId="12" fillId="0" borderId="0" xfId="23" applyFont="1" applyAlignment="1"/>
    <xf numFmtId="0" fontId="4" fillId="0" borderId="0" xfId="23" applyFont="1"/>
    <xf numFmtId="0" fontId="17" fillId="0" borderId="0" xfId="23" applyFont="1"/>
    <xf numFmtId="0" fontId="17" fillId="0" borderId="2" xfId="23" applyFont="1" applyBorder="1"/>
    <xf numFmtId="0" fontId="17" fillId="0" borderId="0" xfId="23" applyFont="1" applyBorder="1"/>
    <xf numFmtId="0" fontId="2" fillId="0" borderId="0" xfId="23" applyFont="1"/>
    <xf numFmtId="0" fontId="2" fillId="0" borderId="2" xfId="23" applyFont="1" applyBorder="1" applyAlignment="1">
      <alignment horizontal="center"/>
    </xf>
    <xf numFmtId="0" fontId="2" fillId="0" borderId="2" xfId="23" applyFont="1" applyBorder="1" applyAlignment="1">
      <alignment horizontal="left"/>
    </xf>
    <xf numFmtId="0" fontId="2" fillId="0" borderId="2" xfId="23" applyFont="1" applyBorder="1" applyAlignment="1">
      <alignment horizontal="left" wrapText="1"/>
    </xf>
    <xf numFmtId="0" fontId="7" fillId="0" borderId="0" xfId="23" applyFill="1" applyBorder="1" applyAlignment="1">
      <alignment horizontal="left"/>
    </xf>
    <xf numFmtId="0" fontId="6" fillId="0" borderId="0" xfId="23" applyFont="1"/>
    <xf numFmtId="0" fontId="7" fillId="0" borderId="0" xfId="24"/>
    <xf numFmtId="0" fontId="3" fillId="0" borderId="0" xfId="24" applyFont="1" applyAlignment="1">
      <alignment horizontal="right"/>
    </xf>
    <xf numFmtId="0" fontId="4" fillId="0" borderId="0" xfId="24" applyFont="1" applyAlignment="1">
      <alignment horizontal="right"/>
    </xf>
    <xf numFmtId="0" fontId="15" fillId="0" borderId="2" xfId="24" applyFont="1" applyBorder="1" applyAlignment="1">
      <alignment horizontal="center" vertical="top" wrapText="1"/>
    </xf>
    <xf numFmtId="0" fontId="15" fillId="0" borderId="2" xfId="24" applyFont="1" applyBorder="1" applyAlignment="1">
      <alignment horizontal="center" vertical="center" wrapText="1"/>
    </xf>
    <xf numFmtId="0" fontId="2" fillId="0" borderId="2" xfId="24" applyFont="1" applyBorder="1" applyAlignment="1">
      <alignment horizontal="center" vertical="center"/>
    </xf>
    <xf numFmtId="0" fontId="13" fillId="0" borderId="2" xfId="24" applyFont="1" applyBorder="1" applyAlignment="1">
      <alignment horizontal="center" vertical="top" wrapText="1"/>
    </xf>
    <xf numFmtId="0" fontId="13" fillId="0" borderId="0" xfId="24" applyFont="1" applyAlignment="1">
      <alignment horizontal="left"/>
    </xf>
    <xf numFmtId="0" fontId="71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5" fillId="3" borderId="1" xfId="0" applyFont="1" applyFill="1" applyBorder="1" applyAlignment="1">
      <alignment vertical="center" wrapText="1"/>
    </xf>
    <xf numFmtId="0" fontId="36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72" fillId="0" borderId="0" xfId="0" applyFont="1"/>
    <xf numFmtId="0" fontId="2" fillId="0" borderId="0" xfId="8" applyFont="1"/>
    <xf numFmtId="0" fontId="2" fillId="0" borderId="0" xfId="8" applyFont="1" applyAlignment="1">
      <alignment horizontal="center" vertical="top" wrapText="1"/>
    </xf>
    <xf numFmtId="0" fontId="2" fillId="0" borderId="0" xfId="8" applyFont="1" applyAlignment="1">
      <alignment horizontal="center"/>
    </xf>
    <xf numFmtId="0" fontId="17" fillId="0" borderId="0" xfId="8" applyFont="1" applyAlignment="1">
      <alignment horizontal="left"/>
    </xf>
    <xf numFmtId="0" fontId="6" fillId="0" borderId="0" xfId="8" applyFont="1"/>
    <xf numFmtId="0" fontId="2" fillId="0" borderId="0" xfId="8" applyFont="1" applyAlignment="1"/>
    <xf numFmtId="0" fontId="2" fillId="0" borderId="7" xfId="8" applyFont="1" applyBorder="1" applyAlignment="1"/>
    <xf numFmtId="0" fontId="2" fillId="0" borderId="0" xfId="8" applyFont="1" applyBorder="1" applyAlignment="1"/>
    <xf numFmtId="0" fontId="2" fillId="0" borderId="0" xfId="8" applyFont="1" applyBorder="1"/>
    <xf numFmtId="0" fontId="2" fillId="0" borderId="0" xfId="8" applyFont="1" applyBorder="1" applyAlignment="1">
      <alignment horizontal="center" vertical="top" wrapText="1"/>
    </xf>
    <xf numFmtId="0" fontId="15" fillId="0" borderId="0" xfId="8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8" applyFont="1" applyBorder="1" applyAlignment="1"/>
    <xf numFmtId="0" fontId="13" fillId="0" borderId="0" xfId="8" applyFont="1" applyBorder="1" applyAlignment="1"/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 wrapText="1"/>
    </xf>
    <xf numFmtId="0" fontId="17" fillId="0" borderId="0" xfId="8" applyFont="1"/>
    <xf numFmtId="0" fontId="15" fillId="0" borderId="0" xfId="8" applyFont="1" applyBorder="1" applyAlignment="1">
      <alignment wrapText="1"/>
    </xf>
    <xf numFmtId="0" fontId="2" fillId="3" borderId="2" xfId="8" quotePrefix="1" applyFont="1" applyFill="1" applyBorder="1" applyAlignment="1">
      <alignment horizontal="center" vertical="center" wrapText="1"/>
    </xf>
    <xf numFmtId="0" fontId="17" fillId="3" borderId="3" xfId="8" quotePrefix="1" applyFont="1" applyFill="1" applyBorder="1" applyAlignment="1">
      <alignment horizontal="center" vertical="center" wrapText="1"/>
    </xf>
    <xf numFmtId="0" fontId="2" fillId="0" borderId="0" xfId="8" applyFont="1" applyBorder="1" applyAlignment="1">
      <alignment horizontal="left" vertical="center"/>
    </xf>
    <xf numFmtId="0" fontId="2" fillId="0" borderId="2" xfId="8" applyFont="1" applyBorder="1" applyAlignment="1">
      <alignment horizontal="center" vertical="center"/>
    </xf>
    <xf numFmtId="0" fontId="2" fillId="0" borderId="2" xfId="8" applyFont="1" applyBorder="1" applyAlignment="1">
      <alignment horizontal="left" vertical="center"/>
    </xf>
    <xf numFmtId="0" fontId="2" fillId="0" borderId="0" xfId="8" applyFont="1" applyAlignment="1">
      <alignment horizontal="left" vertical="center"/>
    </xf>
    <xf numFmtId="0" fontId="32" fillId="0" borderId="0" xfId="0" applyFont="1" applyAlignment="1"/>
    <xf numFmtId="0" fontId="33" fillId="0" borderId="0" xfId="0" applyFont="1" applyAlignment="1"/>
    <xf numFmtId="0" fontId="35" fillId="0" borderId="2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/>
    </xf>
    <xf numFmtId="0" fontId="74" fillId="0" borderId="2" xfId="0" applyFont="1" applyBorder="1" applyAlignment="1">
      <alignment vertical="top" wrapText="1"/>
    </xf>
    <xf numFmtId="0" fontId="71" fillId="0" borderId="2" xfId="0" applyFont="1" applyBorder="1" applyAlignment="1">
      <alignment horizontal="center"/>
    </xf>
    <xf numFmtId="0" fontId="75" fillId="0" borderId="2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8" fillId="0" borderId="2" xfId="0" applyFont="1" applyBorder="1" applyAlignment="1">
      <alignment vertical="top" wrapText="1"/>
    </xf>
    <xf numFmtId="0" fontId="78" fillId="0" borderId="2" xfId="0" applyFont="1" applyBorder="1" applyAlignment="1">
      <alignment horizontal="center" vertical="top" wrapText="1"/>
    </xf>
    <xf numFmtId="0" fontId="70" fillId="0" borderId="0" xfId="0" applyFont="1"/>
    <xf numFmtId="0" fontId="79" fillId="0" borderId="2" xfId="0" applyFont="1" applyBorder="1" applyAlignment="1">
      <alignment vertical="center" wrapText="1"/>
    </xf>
    <xf numFmtId="0" fontId="79" fillId="0" borderId="2" xfId="0" applyFont="1" applyBorder="1" applyAlignment="1">
      <alignment horizontal="left" vertical="center" wrapText="1" indent="2"/>
    </xf>
    <xf numFmtId="0" fontId="79" fillId="0" borderId="0" xfId="0" applyFont="1" applyBorder="1" applyAlignment="1">
      <alignment horizontal="left" vertical="center" wrapText="1" indent="2"/>
    </xf>
    <xf numFmtId="0" fontId="79" fillId="0" borderId="0" xfId="0" applyFont="1" applyBorder="1" applyAlignment="1">
      <alignment vertical="center" wrapText="1"/>
    </xf>
    <xf numFmtId="0" fontId="79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2" fillId="0" borderId="0" xfId="22" applyFont="1" applyAlignment="1"/>
    <xf numFmtId="0" fontId="17" fillId="0" borderId="0" xfId="22" applyFont="1" applyAlignment="1">
      <alignment horizontal="right"/>
    </xf>
    <xf numFmtId="0" fontId="10" fillId="0" borderId="2" xfId="0" applyFont="1" applyBorder="1" applyAlignment="1">
      <alignment horizontal="center"/>
    </xf>
    <xf numFmtId="0" fontId="35" fillId="3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" borderId="2" xfId="8" applyFont="1" applyFill="1" applyBorder="1" applyAlignment="1">
      <alignment horizontal="center" vertical="center"/>
    </xf>
    <xf numFmtId="0" fontId="15" fillId="0" borderId="0" xfId="0" applyFont="1" applyAlignment="1"/>
    <xf numFmtId="0" fontId="35" fillId="3" borderId="1" xfId="0" applyFont="1" applyFill="1" applyBorder="1" applyAlignment="1">
      <alignment horizontal="center" vertical="top" wrapText="1"/>
    </xf>
    <xf numFmtId="0" fontId="2" fillId="0" borderId="0" xfId="9" applyFont="1"/>
    <xf numFmtId="0" fontId="2" fillId="0" borderId="0" xfId="9" applyFont="1" applyAlignment="1">
      <alignment horizontal="center" vertical="top" wrapText="1"/>
    </xf>
    <xf numFmtId="0" fontId="2" fillId="0" borderId="0" xfId="9" applyFont="1" applyAlignment="1"/>
    <xf numFmtId="0" fontId="2" fillId="0" borderId="0" xfId="9" applyFont="1" applyAlignment="1">
      <alignment horizontal="center"/>
    </xf>
    <xf numFmtId="0" fontId="14" fillId="0" borderId="0" xfId="22" applyFont="1" applyAlignment="1">
      <alignment horizontal="left"/>
    </xf>
    <xf numFmtId="0" fontId="7" fillId="0" borderId="0" xfId="22" applyFont="1" applyBorder="1"/>
    <xf numFmtId="0" fontId="67" fillId="0" borderId="0" xfId="8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79" fillId="0" borderId="2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10" fillId="0" borderId="2" xfId="22" applyFont="1" applyBorder="1" applyAlignment="1">
      <alignment horizontal="center" vertical="top" wrapText="1"/>
    </xf>
    <xf numFmtId="0" fontId="17" fillId="0" borderId="2" xfId="22" applyFont="1" applyBorder="1" applyAlignment="1">
      <alignment horizontal="center" vertical="top" wrapText="1"/>
    </xf>
    <xf numFmtId="0" fontId="17" fillId="0" borderId="5" xfId="22" applyFont="1" applyBorder="1" applyAlignment="1">
      <alignment horizontal="center" vertical="top" wrapText="1"/>
    </xf>
    <xf numFmtId="0" fontId="17" fillId="0" borderId="4" xfId="22" applyFont="1" applyBorder="1" applyAlignment="1">
      <alignment horizontal="center" vertical="top" wrapText="1"/>
    </xf>
    <xf numFmtId="0" fontId="44" fillId="0" borderId="0" xfId="8" applyFont="1" applyAlignment="1">
      <alignment horizontal="center"/>
    </xf>
    <xf numFmtId="0" fontId="7" fillId="0" borderId="0" xfId="22" applyAlignment="1">
      <alignment horizontal="center"/>
    </xf>
    <xf numFmtId="0" fontId="68" fillId="0" borderId="2" xfId="1" applyBorder="1"/>
    <xf numFmtId="0" fontId="68" fillId="0" borderId="2" xfId="1" applyBorder="1" applyAlignment="1">
      <alignment horizontal="left"/>
    </xf>
    <xf numFmtId="0" fontId="68" fillId="0" borderId="2" xfId="1" applyFill="1" applyBorder="1"/>
    <xf numFmtId="0" fontId="71" fillId="0" borderId="0" xfId="22" applyFont="1" applyAlignment="1">
      <alignment horizontal="center"/>
    </xf>
    <xf numFmtId="0" fontId="34" fillId="0" borderId="0" xfId="22" applyFont="1"/>
    <xf numFmtId="0" fontId="35" fillId="0" borderId="0" xfId="22" applyFont="1"/>
    <xf numFmtId="0" fontId="7" fillId="0" borderId="0" xfId="22" applyAlignment="1">
      <alignment horizontal="right"/>
    </xf>
    <xf numFmtId="0" fontId="80" fillId="3" borderId="2" xfId="22" applyFont="1" applyFill="1" applyBorder="1" applyAlignment="1">
      <alignment horizontal="center" vertical="center" wrapText="1"/>
    </xf>
    <xf numFmtId="0" fontId="2" fillId="3" borderId="2" xfId="22" applyFont="1" applyFill="1" applyBorder="1" applyAlignment="1">
      <alignment horizontal="center" vertical="center" wrapText="1"/>
    </xf>
    <xf numFmtId="0" fontId="7" fillId="0" borderId="2" xfId="22" applyBorder="1" applyAlignment="1">
      <alignment horizontal="center" vertical="center" wrapText="1"/>
    </xf>
    <xf numFmtId="0" fontId="7" fillId="3" borderId="2" xfId="22" applyFill="1" applyBorder="1" applyAlignment="1">
      <alignment horizontal="center" vertical="center" wrapText="1"/>
    </xf>
    <xf numFmtId="0" fontId="81" fillId="3" borderId="2" xfId="22" applyFont="1" applyFill="1" applyBorder="1" applyAlignment="1">
      <alignment horizontal="center" vertical="center" wrapText="1"/>
    </xf>
    <xf numFmtId="0" fontId="7" fillId="3" borderId="2" xfId="22" applyFill="1" applyBorder="1"/>
    <xf numFmtId="0" fontId="70" fillId="0" borderId="0" xfId="22" applyFont="1" applyAlignment="1">
      <alignment horizontal="center"/>
    </xf>
    <xf numFmtId="0" fontId="7" fillId="0" borderId="0" xfId="22" applyAlignment="1">
      <alignment vertical="center"/>
    </xf>
    <xf numFmtId="0" fontId="79" fillId="0" borderId="0" xfId="22" applyFont="1" applyAlignment="1">
      <alignment horizontal="left" vertical="center"/>
    </xf>
    <xf numFmtId="0" fontId="79" fillId="0" borderId="0" xfId="22" applyFont="1" applyAlignment="1">
      <alignment vertical="center"/>
    </xf>
    <xf numFmtId="0" fontId="2" fillId="0" borderId="0" xfId="11" applyFont="1"/>
    <xf numFmtId="0" fontId="2" fillId="0" borderId="0" xfId="1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7" fillId="2" borderId="2" xfId="0" applyFont="1" applyFill="1" applyBorder="1"/>
    <xf numFmtId="0" fontId="15" fillId="0" borderId="2" xfId="0" applyFont="1" applyBorder="1"/>
    <xf numFmtId="0" fontId="13" fillId="2" borderId="2" xfId="0" applyFont="1" applyFill="1" applyBorder="1"/>
    <xf numFmtId="0" fontId="12" fillId="0" borderId="2" xfId="0" applyFont="1" applyBorder="1" applyAlignment="1">
      <alignment horizontal="center"/>
    </xf>
    <xf numFmtId="0" fontId="12" fillId="2" borderId="2" xfId="0" applyFont="1" applyFill="1" applyBorder="1"/>
    <xf numFmtId="0" fontId="12" fillId="0" borderId="2" xfId="0" applyFont="1" applyBorder="1"/>
    <xf numFmtId="0" fontId="48" fillId="0" borderId="0" xfId="8" applyFont="1" applyBorder="1" applyAlignment="1">
      <alignment horizontal="left"/>
    </xf>
    <xf numFmtId="0" fontId="82" fillId="0" borderId="0" xfId="8" applyFont="1"/>
    <xf numFmtId="0" fontId="47" fillId="0" borderId="0" xfId="8" applyFont="1" applyBorder="1" applyAlignment="1">
      <alignment horizontal="left"/>
    </xf>
    <xf numFmtId="0" fontId="83" fillId="0" borderId="0" xfId="8" applyFont="1"/>
    <xf numFmtId="0" fontId="32" fillId="0" borderId="0" xfId="0" applyFont="1" applyBorder="1" applyAlignment="1"/>
    <xf numFmtId="0" fontId="15" fillId="0" borderId="2" xfId="22" applyFont="1" applyBorder="1" applyAlignment="1">
      <alignment horizontal="left" vertical="center"/>
    </xf>
    <xf numFmtId="0" fontId="15" fillId="0" borderId="2" xfId="22" applyFont="1" applyFill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22" applyFont="1" applyBorder="1" applyAlignment="1">
      <alignment horizontal="left" vertical="center"/>
    </xf>
    <xf numFmtId="164" fontId="84" fillId="0" borderId="0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14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85" fillId="0" borderId="0" xfId="0" applyFont="1" applyBorder="1" applyAlignment="1"/>
    <xf numFmtId="0" fontId="86" fillId="0" borderId="0" xfId="0" applyFont="1" applyBorder="1" applyAlignment="1">
      <alignment horizontal="left"/>
    </xf>
    <xf numFmtId="0" fontId="87" fillId="0" borderId="0" xfId="0" applyFont="1" applyBorder="1"/>
    <xf numFmtId="2" fontId="86" fillId="0" borderId="0" xfId="0" applyNumberFormat="1" applyFont="1" applyBorder="1" applyAlignment="1">
      <alignment horizontal="center"/>
    </xf>
    <xf numFmtId="0" fontId="87" fillId="0" borderId="0" xfId="0" applyFont="1"/>
    <xf numFmtId="164" fontId="88" fillId="0" borderId="2" xfId="0" applyNumberFormat="1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164" fontId="84" fillId="0" borderId="2" xfId="0" applyNumberFormat="1" applyFont="1" applyBorder="1" applyAlignment="1">
      <alignment horizontal="right" vertical="center"/>
    </xf>
    <xf numFmtId="164" fontId="88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vertical="center"/>
    </xf>
    <xf numFmtId="164" fontId="8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3" borderId="2" xfId="0" applyFont="1" applyFill="1" applyBorder="1"/>
    <xf numFmtId="1" fontId="7" fillId="0" borderId="2" xfId="0" applyNumberFormat="1" applyFont="1" applyBorder="1"/>
    <xf numFmtId="0" fontId="2" fillId="0" borderId="5" xfId="0" applyFont="1" applyBorder="1"/>
    <xf numFmtId="1" fontId="2" fillId="0" borderId="2" xfId="0" applyNumberFormat="1" applyFont="1" applyBorder="1"/>
    <xf numFmtId="0" fontId="7" fillId="0" borderId="0" xfId="0" applyFont="1" applyFill="1" applyBorder="1"/>
    <xf numFmtId="164" fontId="7" fillId="0" borderId="2" xfId="0" applyNumberFormat="1" applyFont="1" applyBorder="1"/>
    <xf numFmtId="2" fontId="7" fillId="0" borderId="2" xfId="0" applyNumberFormat="1" applyFont="1" applyBorder="1"/>
    <xf numFmtId="2" fontId="7" fillId="0" borderId="5" xfId="0" applyNumberFormat="1" applyFont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0" fontId="51" fillId="0" borderId="18" xfId="1" applyFont="1" applyBorder="1" applyAlignment="1" applyProtection="1">
      <alignment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164" fontId="7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7" fillId="0" borderId="6" xfId="0" applyNumberFormat="1" applyFont="1" applyBorder="1"/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/>
    <xf numFmtId="164" fontId="7" fillId="0" borderId="2" xfId="0" applyNumberFormat="1" applyFont="1" applyBorder="1" applyAlignment="1"/>
    <xf numFmtId="2" fontId="7" fillId="0" borderId="2" xfId="0" applyNumberFormat="1" applyFont="1" applyBorder="1" applyAlignment="1"/>
    <xf numFmtId="164" fontId="2" fillId="0" borderId="2" xfId="0" applyNumberFormat="1" applyFont="1" applyBorder="1" applyAlignment="1"/>
    <xf numFmtId="2" fontId="89" fillId="0" borderId="2" xfId="8" applyNumberFormat="1" applyFont="1" applyFill="1" applyBorder="1" applyAlignment="1">
      <alignment horizontal="right"/>
    </xf>
    <xf numFmtId="0" fontId="7" fillId="0" borderId="0" xfId="0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top" wrapText="1"/>
    </xf>
    <xf numFmtId="0" fontId="2" fillId="0" borderId="0" xfId="0" applyFont="1" applyFill="1"/>
    <xf numFmtId="0" fontId="50" fillId="0" borderId="2" xfId="0" applyFont="1" applyFill="1" applyBorder="1" applyAlignment="1">
      <alignment horizontal="center"/>
    </xf>
    <xf numFmtId="0" fontId="50" fillId="0" borderId="2" xfId="0" applyFont="1" applyFill="1" applyBorder="1"/>
    <xf numFmtId="0" fontId="13" fillId="0" borderId="0" xfId="0" applyFont="1" applyFill="1"/>
    <xf numFmtId="0" fontId="17" fillId="0" borderId="0" xfId="0" applyFont="1" applyFill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8" fillId="0" borderId="0" xfId="0" applyFont="1" applyFill="1" applyAlignment="1">
      <alignment wrapText="1"/>
    </xf>
    <xf numFmtId="0" fontId="15" fillId="0" borderId="0" xfId="0" applyFont="1" applyFill="1"/>
    <xf numFmtId="0" fontId="93" fillId="0" borderId="2" xfId="0" applyFont="1" applyBorder="1" applyAlignment="1">
      <alignment horizontal="center" vertical="top" wrapText="1"/>
    </xf>
    <xf numFmtId="0" fontId="94" fillId="0" borderId="2" xfId="8" applyFont="1" applyBorder="1" applyAlignment="1">
      <alignment horizontal="center" vertical="top" wrapText="1"/>
    </xf>
    <xf numFmtId="0" fontId="90" fillId="0" borderId="2" xfId="0" applyFont="1" applyBorder="1" applyAlignment="1">
      <alignment horizontal="center"/>
    </xf>
    <xf numFmtId="0" fontId="90" fillId="2" borderId="2" xfId="0" applyFont="1" applyFill="1" applyBorder="1"/>
    <xf numFmtId="0" fontId="90" fillId="0" borderId="2" xfId="0" applyFont="1" applyBorder="1"/>
    <xf numFmtId="0" fontId="92" fillId="0" borderId="2" xfId="0" applyFont="1" applyBorder="1" applyAlignment="1">
      <alignment horizontal="center" vertical="top" wrapText="1"/>
    </xf>
    <xf numFmtId="0" fontId="95" fillId="0" borderId="2" xfId="8" applyFont="1" applyBorder="1" applyAlignment="1">
      <alignment horizontal="center" vertical="top" wrapText="1"/>
    </xf>
    <xf numFmtId="1" fontId="96" fillId="0" borderId="2" xfId="8" applyNumberFormat="1" applyFont="1" applyBorder="1" applyAlignment="1">
      <alignment horizontal="right" vertical="top" wrapText="1"/>
    </xf>
    <xf numFmtId="0" fontId="96" fillId="0" borderId="2" xfId="8" applyFont="1" applyBorder="1" applyAlignment="1">
      <alignment horizontal="right" vertical="top" wrapText="1"/>
    </xf>
    <xf numFmtId="0" fontId="96" fillId="0" borderId="2" xfId="19" applyFont="1" applyBorder="1" applyAlignment="1">
      <alignment horizontal="right" vertical="top" wrapText="1"/>
    </xf>
    <xf numFmtId="1" fontId="96" fillId="0" borderId="2" xfId="8" applyNumberFormat="1" applyFont="1" applyBorder="1" applyAlignment="1">
      <alignment horizontal="right"/>
    </xf>
    <xf numFmtId="0" fontId="96" fillId="0" borderId="2" xfId="8" applyFont="1" applyBorder="1" applyAlignment="1">
      <alignment horizontal="right"/>
    </xf>
    <xf numFmtId="0" fontId="78" fillId="0" borderId="2" xfId="8" applyFont="1" applyBorder="1"/>
    <xf numFmtId="0" fontId="70" fillId="0" borderId="0" xfId="8" applyFont="1"/>
    <xf numFmtId="0" fontId="97" fillId="0" borderId="2" xfId="8" applyFont="1" applyBorder="1" applyAlignment="1">
      <alignment horizontal="center" vertical="center" wrapText="1"/>
    </xf>
    <xf numFmtId="0" fontId="94" fillId="0" borderId="2" xfId="8" applyFont="1" applyBorder="1" applyAlignment="1">
      <alignment horizontal="center"/>
    </xf>
    <xf numFmtId="1" fontId="89" fillId="0" borderId="2" xfId="0" applyNumberFormat="1" applyFont="1" applyBorder="1"/>
    <xf numFmtId="1" fontId="70" fillId="0" borderId="2" xfId="8" applyNumberFormat="1" applyFont="1" applyBorder="1"/>
    <xf numFmtId="2" fontId="89" fillId="0" borderId="2" xfId="0" applyNumberFormat="1" applyFont="1" applyBorder="1"/>
    <xf numFmtId="2" fontId="70" fillId="0" borderId="2" xfId="8" applyNumberFormat="1" applyFont="1" applyBorder="1"/>
    <xf numFmtId="0" fontId="43" fillId="0" borderId="0" xfId="8" applyFont="1" applyAlignment="1"/>
    <xf numFmtId="0" fontId="20" fillId="0" borderId="0" xfId="8" applyFont="1"/>
    <xf numFmtId="1" fontId="0" fillId="0" borderId="2" xfId="0" applyNumberFormat="1" applyBorder="1"/>
    <xf numFmtId="1" fontId="2" fillId="3" borderId="2" xfId="0" applyNumberFormat="1" applyFont="1" applyFill="1" applyBorder="1"/>
    <xf numFmtId="164" fontId="0" fillId="0" borderId="2" xfId="0" applyNumberFormat="1" applyBorder="1"/>
    <xf numFmtId="2" fontId="0" fillId="0" borderId="2" xfId="0" applyNumberFormat="1" applyBorder="1"/>
    <xf numFmtId="0" fontId="98" fillId="0" borderId="2" xfId="0" applyFont="1" applyBorder="1" applyAlignment="1">
      <alignment horizontal="center" vertical="top" wrapText="1"/>
    </xf>
    <xf numFmtId="2" fontId="98" fillId="0" borderId="2" xfId="0" applyNumberFormat="1" applyFont="1" applyBorder="1" applyAlignment="1">
      <alignment horizontal="center" vertical="top" wrapText="1"/>
    </xf>
    <xf numFmtId="0" fontId="2" fillId="0" borderId="2" xfId="9" applyFont="1" applyBorder="1"/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7" fillId="0" borderId="0" xfId="0" applyNumberFormat="1" applyFont="1"/>
    <xf numFmtId="1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0" fontId="99" fillId="0" borderId="0" xfId="0" applyFont="1"/>
    <xf numFmtId="164" fontId="99" fillId="0" borderId="0" xfId="0" applyNumberFormat="1" applyFont="1"/>
    <xf numFmtId="1" fontId="7" fillId="0" borderId="0" xfId="0" applyNumberFormat="1" applyFont="1"/>
    <xf numFmtId="0" fontId="7" fillId="0" borderId="6" xfId="0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12" fillId="0" borderId="0" xfId="0" applyFont="1" applyBorder="1"/>
    <xf numFmtId="0" fontId="90" fillId="0" borderId="2" xfId="0" applyFont="1" applyBorder="1" applyAlignment="1">
      <alignment horizontal="center" vertical="center"/>
    </xf>
    <xf numFmtId="1" fontId="100" fillId="0" borderId="2" xfId="0" applyNumberFormat="1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/>
    </xf>
    <xf numFmtId="49" fontId="90" fillId="0" borderId="2" xfId="0" applyNumberFormat="1" applyFont="1" applyBorder="1" applyAlignment="1">
      <alignment horizontal="center" vertical="center"/>
    </xf>
    <xf numFmtId="1" fontId="7" fillId="0" borderId="2" xfId="25" applyNumberFormat="1" applyFont="1" applyBorder="1"/>
    <xf numFmtId="2" fontId="7" fillId="0" borderId="2" xfId="25" applyNumberFormat="1" applyFont="1" applyBorder="1"/>
    <xf numFmtId="0" fontId="7" fillId="0" borderId="2" xfId="25" applyFont="1" applyBorder="1"/>
    <xf numFmtId="0" fontId="0" fillId="0" borderId="2" xfId="0" applyBorder="1" applyAlignment="1">
      <alignment horizontal="right" vertical="center" wrapText="1"/>
    </xf>
    <xf numFmtId="0" fontId="2" fillId="0" borderId="2" xfId="8" applyFont="1" applyBorder="1" applyAlignment="1">
      <alignment horizontal="right"/>
    </xf>
    <xf numFmtId="0" fontId="54" fillId="0" borderId="2" xfId="25" applyFont="1" applyBorder="1" applyAlignment="1">
      <alignment horizontal="center" vertical="center" wrapText="1"/>
    </xf>
    <xf numFmtId="0" fontId="53" fillId="0" borderId="2" xfId="25" applyFont="1" applyBorder="1" applyAlignment="1">
      <alignment horizontal="center" vertical="center" wrapText="1"/>
    </xf>
    <xf numFmtId="0" fontId="35" fillId="0" borderId="2" xfId="0" quotePrefix="1" applyFont="1" applyBorder="1" applyAlignment="1">
      <alignment horizontal="right" vertical="top" wrapText="1"/>
    </xf>
    <xf numFmtId="0" fontId="35" fillId="0" borderId="2" xfId="0" applyFont="1" applyBorder="1" applyAlignment="1">
      <alignment horizontal="right" vertical="top" wrapText="1"/>
    </xf>
    <xf numFmtId="0" fontId="2" fillId="0" borderId="2" xfId="8" applyFont="1" applyBorder="1" applyAlignment="1">
      <alignment horizontal="right" vertical="center"/>
    </xf>
    <xf numFmtId="0" fontId="35" fillId="0" borderId="2" xfId="0" applyFont="1" applyBorder="1" applyAlignment="1">
      <alignment vertical="top" wrapText="1"/>
    </xf>
    <xf numFmtId="0" fontId="17" fillId="2" borderId="2" xfId="0" applyFont="1" applyFill="1" applyBorder="1" applyAlignment="1">
      <alignment horizontal="left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/>
    </xf>
    <xf numFmtId="0" fontId="19" fillId="0" borderId="0" xfId="8" applyFont="1" applyBorder="1"/>
    <xf numFmtId="2" fontId="13" fillId="0" borderId="2" xfId="24" applyNumberFormat="1" applyFont="1" applyBorder="1" applyAlignment="1">
      <alignment horizontal="center" vertical="top" wrapText="1"/>
    </xf>
    <xf numFmtId="0" fontId="13" fillId="0" borderId="2" xfId="24" applyFont="1" applyBorder="1" applyAlignment="1">
      <alignment horizontal="right" vertical="top" wrapText="1"/>
    </xf>
    <xf numFmtId="2" fontId="13" fillId="0" borderId="2" xfId="24" applyNumberFormat="1" applyFont="1" applyBorder="1" applyAlignment="1">
      <alignment vertical="top" wrapText="1"/>
    </xf>
    <xf numFmtId="0" fontId="2" fillId="0" borderId="2" xfId="22" applyFont="1" applyBorder="1"/>
    <xf numFmtId="0" fontId="1" fillId="0" borderId="2" xfId="8" applyFont="1" applyBorder="1"/>
    <xf numFmtId="2" fontId="67" fillId="0" borderId="2" xfId="8" applyNumberFormat="1" applyBorder="1"/>
    <xf numFmtId="0" fontId="67" fillId="0" borderId="2" xfId="8" applyBorder="1"/>
    <xf numFmtId="1" fontId="1" fillId="0" borderId="2" xfId="8" applyNumberFormat="1" applyFont="1" applyBorder="1"/>
    <xf numFmtId="0" fontId="70" fillId="0" borderId="2" xfId="8" applyFont="1" applyBorder="1"/>
    <xf numFmtId="0" fontId="28" fillId="0" borderId="2" xfId="8" applyFont="1" applyBorder="1" applyAlignment="1">
      <alignment horizontal="center"/>
    </xf>
    <xf numFmtId="0" fontId="28" fillId="0" borderId="2" xfId="8" applyFont="1" applyBorder="1" applyAlignment="1">
      <alignment horizontal="center" wrapText="1"/>
    </xf>
    <xf numFmtId="0" fontId="20" fillId="0" borderId="2" xfId="8" applyFont="1" applyBorder="1"/>
    <xf numFmtId="1" fontId="13" fillId="0" borderId="2" xfId="0" applyNumberFormat="1" applyFont="1" applyBorder="1"/>
    <xf numFmtId="1" fontId="20" fillId="0" borderId="2" xfId="8" applyNumberFormat="1" applyFont="1" applyBorder="1"/>
    <xf numFmtId="2" fontId="60" fillId="0" borderId="2" xfId="23" applyNumberFormat="1" applyFont="1" applyBorder="1"/>
    <xf numFmtId="2" fontId="7" fillId="0" borderId="0" xfId="23" applyNumberFormat="1"/>
    <xf numFmtId="0" fontId="2" fillId="0" borderId="0" xfId="22" applyFont="1" applyAlignment="1">
      <alignment vertical="center"/>
    </xf>
    <xf numFmtId="0" fontId="2" fillId="0" borderId="0" xfId="22" applyFont="1" applyAlignment="1">
      <alignment horizontal="center" vertical="center" wrapText="1"/>
    </xf>
    <xf numFmtId="0" fontId="7" fillId="0" borderId="2" xfId="22" applyFont="1" applyBorder="1" applyAlignment="1">
      <alignment horizontal="center"/>
    </xf>
    <xf numFmtId="0" fontId="58" fillId="0" borderId="2" xfId="22" applyFont="1" applyBorder="1" applyAlignment="1">
      <alignment horizontal="center"/>
    </xf>
    <xf numFmtId="2" fontId="58" fillId="0" borderId="2" xfId="22" applyNumberFormat="1" applyFont="1" applyBorder="1" applyAlignment="1">
      <alignment horizontal="right"/>
    </xf>
    <xf numFmtId="0" fontId="49" fillId="0" borderId="2" xfId="22" applyFont="1" applyBorder="1" applyAlignment="1">
      <alignment horizontal="center"/>
    </xf>
    <xf numFmtId="0" fontId="49" fillId="0" borderId="2" xfId="22" applyFont="1" applyBorder="1" applyAlignment="1">
      <alignment horizontal="center" vertical="center"/>
    </xf>
    <xf numFmtId="2" fontId="49" fillId="0" borderId="2" xfId="22" applyNumberFormat="1" applyFont="1" applyBorder="1" applyAlignment="1">
      <alignment horizontal="right"/>
    </xf>
    <xf numFmtId="0" fontId="49" fillId="0" borderId="2" xfId="22" applyFont="1" applyBorder="1" applyAlignment="1">
      <alignment horizontal="right"/>
    </xf>
    <xf numFmtId="0" fontId="58" fillId="0" borderId="2" xfId="22" applyFont="1" applyBorder="1" applyAlignment="1">
      <alignment horizontal="right"/>
    </xf>
    <xf numFmtId="2" fontId="2" fillId="0" borderId="2" xfId="22" applyNumberFormat="1" applyFont="1" applyBorder="1" applyAlignment="1">
      <alignment horizontal="right" vertical="center"/>
    </xf>
    <xf numFmtId="2" fontId="7" fillId="0" borderId="2" xfId="22" applyNumberFormat="1" applyBorder="1"/>
    <xf numFmtId="2" fontId="7" fillId="0" borderId="2" xfId="22" applyNumberFormat="1" applyBorder="1" applyAlignment="1">
      <alignment horizontal="right" vertical="center"/>
    </xf>
    <xf numFmtId="2" fontId="7" fillId="0" borderId="2" xfId="22" applyNumberFormat="1" applyBorder="1" applyAlignment="1">
      <alignment horizontal="right"/>
    </xf>
    <xf numFmtId="2" fontId="2" fillId="0" borderId="2" xfId="22" applyNumberFormat="1" applyFont="1" applyBorder="1"/>
    <xf numFmtId="2" fontId="2" fillId="0" borderId="2" xfId="22" applyNumberFormat="1" applyFont="1" applyBorder="1" applyAlignment="1">
      <alignment horizontal="right"/>
    </xf>
    <xf numFmtId="0" fontId="2" fillId="0" borderId="0" xfId="22" applyFont="1" applyBorder="1" applyAlignment="1">
      <alignment horizontal="center"/>
    </xf>
    <xf numFmtId="0" fontId="49" fillId="0" borderId="0" xfId="22" applyFont="1" applyBorder="1" applyAlignment="1">
      <alignment horizontal="center"/>
    </xf>
    <xf numFmtId="0" fontId="49" fillId="0" borderId="0" xfId="22" applyFont="1" applyBorder="1" applyAlignment="1">
      <alignment horizontal="center" vertical="center"/>
    </xf>
    <xf numFmtId="0" fontId="49" fillId="0" borderId="0" xfId="22" applyFont="1" applyBorder="1" applyAlignment="1">
      <alignment horizontal="right"/>
    </xf>
    <xf numFmtId="2" fontId="49" fillId="0" borderId="0" xfId="22" applyNumberFormat="1" applyFont="1" applyBorder="1" applyAlignment="1">
      <alignment horizontal="right"/>
    </xf>
    <xf numFmtId="0" fontId="2" fillId="0" borderId="0" xfId="22" applyFont="1" applyBorder="1" applyAlignment="1">
      <alignment horizontal="center" vertical="center"/>
    </xf>
    <xf numFmtId="2" fontId="7" fillId="0" borderId="0" xfId="22" applyNumberFormat="1"/>
    <xf numFmtId="0" fontId="102" fillId="0" borderId="2" xfId="0" applyFont="1" applyBorder="1"/>
    <xf numFmtId="0" fontId="103" fillId="0" borderId="2" xfId="0" quotePrefix="1" applyFont="1" applyBorder="1" applyAlignment="1">
      <alignment horizontal="right" vertical="top" wrapText="1"/>
    </xf>
    <xf numFmtId="0" fontId="103" fillId="0" borderId="2" xfId="0" applyFont="1" applyBorder="1" applyAlignment="1">
      <alignment horizontal="right" vertical="top" wrapText="1"/>
    </xf>
    <xf numFmtId="2" fontId="103" fillId="0" borderId="2" xfId="0" quotePrefix="1" applyNumberFormat="1" applyFont="1" applyBorder="1" applyAlignment="1">
      <alignment horizontal="right" vertical="top" wrapText="1"/>
    </xf>
    <xf numFmtId="1" fontId="90" fillId="0" borderId="2" xfId="0" applyNumberFormat="1" applyFont="1" applyBorder="1"/>
    <xf numFmtId="2" fontId="7" fillId="3" borderId="2" xfId="22" applyNumberFormat="1" applyFill="1" applyBorder="1"/>
    <xf numFmtId="2" fontId="2" fillId="3" borderId="2" xfId="22" applyNumberFormat="1" applyFont="1" applyFill="1" applyBorder="1"/>
    <xf numFmtId="0" fontId="104" fillId="0" borderId="0" xfId="0" applyFont="1"/>
    <xf numFmtId="1" fontId="104" fillId="0" borderId="0" xfId="0" applyNumberFormat="1" applyFont="1"/>
    <xf numFmtId="2" fontId="104" fillId="0" borderId="0" xfId="0" applyNumberFormat="1" applyFont="1"/>
    <xf numFmtId="164" fontId="104" fillId="0" borderId="0" xfId="0" applyNumberFormat="1" applyFont="1"/>
    <xf numFmtId="1" fontId="87" fillId="0" borderId="0" xfId="0" applyNumberFormat="1" applyFont="1"/>
    <xf numFmtId="2" fontId="87" fillId="0" borderId="0" xfId="0" applyNumberFormat="1" applyFont="1"/>
    <xf numFmtId="164" fontId="87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horizontal="right"/>
    </xf>
    <xf numFmtId="0" fontId="32" fillId="0" borderId="0" xfId="0" applyFont="1" applyFill="1" applyAlignment="1"/>
    <xf numFmtId="0" fontId="33" fillId="0" borderId="0" xfId="0" applyFont="1" applyFill="1" applyAlignment="1"/>
    <xf numFmtId="0" fontId="34" fillId="0" borderId="0" xfId="0" applyFont="1" applyFill="1"/>
    <xf numFmtId="0" fontId="35" fillId="0" borderId="0" xfId="0" applyFont="1" applyFill="1" applyBorder="1" applyAlignment="1"/>
    <xf numFmtId="0" fontId="36" fillId="0" borderId="0" xfId="0" applyFont="1" applyFill="1" applyBorder="1" applyAlignment="1"/>
    <xf numFmtId="0" fontId="70" fillId="0" borderId="2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/>
    <xf numFmtId="0" fontId="7" fillId="0" borderId="2" xfId="0" applyFont="1" applyFill="1" applyBorder="1"/>
    <xf numFmtId="0" fontId="2" fillId="0" borderId="2" xfId="0" applyFont="1" applyFill="1" applyBorder="1"/>
    <xf numFmtId="0" fontId="7" fillId="3" borderId="2" xfId="0" applyFont="1" applyFill="1" applyBorder="1"/>
    <xf numFmtId="2" fontId="100" fillId="0" borderId="0" xfId="23" applyNumberFormat="1" applyFont="1"/>
    <xf numFmtId="0" fontId="100" fillId="0" borderId="0" xfId="23" applyFont="1"/>
    <xf numFmtId="2" fontId="101" fillId="0" borderId="0" xfId="23" applyNumberFormat="1" applyFont="1"/>
    <xf numFmtId="0" fontId="101" fillId="0" borderId="0" xfId="23" applyFont="1" applyAlignment="1">
      <alignment horizontal="left"/>
    </xf>
    <xf numFmtId="2" fontId="105" fillId="0" borderId="0" xfId="23" applyNumberFormat="1" applyFont="1"/>
    <xf numFmtId="0" fontId="105" fillId="0" borderId="0" xfId="23" applyFont="1"/>
    <xf numFmtId="2" fontId="64" fillId="0" borderId="2" xfId="23" applyNumberFormat="1" applyFont="1" applyBorder="1"/>
    <xf numFmtId="0" fontId="62" fillId="0" borderId="2" xfId="0" applyFont="1" applyBorder="1" applyAlignment="1">
      <alignment horizontal="right" vertical="top" wrapText="1"/>
    </xf>
    <xf numFmtId="0" fontId="62" fillId="0" borderId="5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top" wrapText="1"/>
    </xf>
    <xf numFmtId="0" fontId="2" fillId="0" borderId="4" xfId="0" applyFont="1" applyBorder="1"/>
    <xf numFmtId="0" fontId="2" fillId="0" borderId="6" xfId="0" applyFont="1" applyBorder="1"/>
    <xf numFmtId="0" fontId="99" fillId="0" borderId="2" xfId="0" applyFont="1" applyFill="1" applyBorder="1" applyAlignment="1">
      <alignment horizontal="right" vertical="top" wrapText="1"/>
    </xf>
    <xf numFmtId="2" fontId="67" fillId="0" borderId="0" xfId="8" applyNumberFormat="1"/>
    <xf numFmtId="0" fontId="0" fillId="0" borderId="2" xfId="0" applyBorder="1" applyAlignment="1">
      <alignment horizontal="center" vertical="top"/>
    </xf>
    <xf numFmtId="0" fontId="0" fillId="3" borderId="2" xfId="0" applyFill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" fontId="2" fillId="0" borderId="0" xfId="0" applyNumberFormat="1" applyFont="1" applyFill="1"/>
    <xf numFmtId="0" fontId="7" fillId="0" borderId="2" xfId="3" applyBorder="1"/>
    <xf numFmtId="0" fontId="7" fillId="0" borderId="5" xfId="3" applyBorder="1" applyAlignment="1">
      <alignment horizontal="right" vertical="top" wrapText="1"/>
    </xf>
    <xf numFmtId="0" fontId="7" fillId="0" borderId="2" xfId="3" applyBorder="1" applyAlignment="1">
      <alignment horizontal="right" vertical="top" wrapText="1"/>
    </xf>
    <xf numFmtId="0" fontId="7" fillId="0" borderId="2" xfId="3" applyBorder="1" applyAlignment="1">
      <alignment horizontal="right"/>
    </xf>
    <xf numFmtId="0" fontId="7" fillId="0" borderId="5" xfId="3" applyBorder="1" applyAlignment="1">
      <alignment horizontal="right"/>
    </xf>
    <xf numFmtId="0" fontId="7" fillId="0" borderId="5" xfId="3" applyBorder="1"/>
    <xf numFmtId="0" fontId="7" fillId="0" borderId="2" xfId="3" applyBorder="1" applyAlignment="1">
      <alignment horizontal="right" vertical="center" wrapText="1"/>
    </xf>
    <xf numFmtId="0" fontId="7" fillId="0" borderId="2" xfId="3" applyBorder="1" applyAlignment="1">
      <alignment horizontal="right" vertical="center"/>
    </xf>
    <xf numFmtId="0" fontId="7" fillId="0" borderId="5" xfId="3" applyBorder="1" applyAlignment="1">
      <alignment horizontal="right" vertical="center"/>
    </xf>
    <xf numFmtId="0" fontId="7" fillId="0" borderId="2" xfId="3" applyBorder="1" applyAlignment="1">
      <alignment horizontal="right" vertical="top"/>
    </xf>
    <xf numFmtId="0" fontId="7" fillId="0" borderId="0" xfId="36" quotePrefix="1"/>
    <xf numFmtId="0" fontId="7" fillId="0" borderId="0" xfId="0" applyFont="1"/>
    <xf numFmtId="0" fontId="7" fillId="0" borderId="0" xfId="22" applyFont="1"/>
    <xf numFmtId="2" fontId="19" fillId="0" borderId="0" xfId="8" applyNumberFormat="1" applyFont="1"/>
    <xf numFmtId="1" fontId="0" fillId="0" borderId="0" xfId="0" applyNumberFormat="1"/>
    <xf numFmtId="1" fontId="7" fillId="0" borderId="0" xfId="22" applyNumberFormat="1" applyFont="1"/>
    <xf numFmtId="2" fontId="7" fillId="0" borderId="0" xfId="22" applyNumberFormat="1" applyFont="1"/>
    <xf numFmtId="0" fontId="104" fillId="0" borderId="0" xfId="0" applyFont="1" applyBorder="1" applyAlignment="1">
      <alignment horizontal="left" wrapText="1"/>
    </xf>
    <xf numFmtId="0" fontId="106" fillId="0" borderId="0" xfId="0" applyFont="1" applyAlignment="1"/>
    <xf numFmtId="0" fontId="107" fillId="0" borderId="0" xfId="0" applyFont="1" applyAlignment="1"/>
    <xf numFmtId="0" fontId="108" fillId="0" borderId="0" xfId="0" applyFont="1" applyAlignment="1"/>
    <xf numFmtId="0" fontId="104" fillId="0" borderId="0" xfId="0" applyFont="1" applyBorder="1"/>
    <xf numFmtId="0" fontId="109" fillId="0" borderId="0" xfId="0" applyFont="1"/>
    <xf numFmtId="166" fontId="109" fillId="0" borderId="0" xfId="0" applyNumberFormat="1" applyFont="1"/>
    <xf numFmtId="166" fontId="104" fillId="0" borderId="0" xfId="0" applyNumberFormat="1" applyFont="1"/>
    <xf numFmtId="164" fontId="7" fillId="0" borderId="0" xfId="0" applyNumberFormat="1" applyFont="1"/>
    <xf numFmtId="164" fontId="7" fillId="0" borderId="5" xfId="0" applyNumberFormat="1" applyFont="1" applyBorder="1"/>
    <xf numFmtId="2" fontId="99" fillId="0" borderId="0" xfId="0" applyNumberFormat="1" applyFont="1"/>
    <xf numFmtId="0" fontId="7" fillId="0" borderId="2" xfId="0" applyFont="1" applyBorder="1" applyAlignment="1">
      <alignment horizontal="center" vertical="top"/>
    </xf>
    <xf numFmtId="0" fontId="45" fillId="0" borderId="2" xfId="0" quotePrefix="1" applyFont="1" applyBorder="1" applyAlignment="1">
      <alignment vertical="top" wrapText="1"/>
    </xf>
    <xf numFmtId="0" fontId="7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17" fillId="3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101" fillId="0" borderId="0" xfId="0" applyNumberFormat="1" applyFont="1"/>
    <xf numFmtId="0" fontId="15" fillId="0" borderId="2" xfId="24" applyFont="1" applyBorder="1" applyAlignment="1">
      <alignment horizontal="center" vertical="center" wrapText="1"/>
    </xf>
    <xf numFmtId="0" fontId="110" fillId="0" borderId="2" xfId="0" applyFont="1" applyBorder="1" applyAlignment="1">
      <alignment horizontal="center" vertical="center" wrapText="1"/>
    </xf>
    <xf numFmtId="0" fontId="110" fillId="0" borderId="2" xfId="0" applyFont="1" applyBorder="1" applyAlignment="1">
      <alignment vertical="center" wrapText="1"/>
    </xf>
    <xf numFmtId="0" fontId="72" fillId="0" borderId="5" xfId="0" applyFont="1" applyBorder="1" applyAlignment="1">
      <alignment horizontal="center" vertical="center" wrapText="1"/>
    </xf>
    <xf numFmtId="0" fontId="2" fillId="0" borderId="2" xfId="2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5" fillId="0" borderId="2" xfId="0" applyFont="1" applyFill="1" applyBorder="1" applyAlignment="1">
      <alignment horizontal="center" vertical="top" wrapText="1"/>
    </xf>
    <xf numFmtId="0" fontId="2" fillId="0" borderId="2" xfId="22" applyFont="1" applyBorder="1" applyAlignment="1">
      <alignment horizontal="center"/>
    </xf>
    <xf numFmtId="0" fontId="7" fillId="0" borderId="0" xfId="22" applyAlignment="1">
      <alignment horizontal="center"/>
    </xf>
    <xf numFmtId="0" fontId="17" fillId="0" borderId="2" xfId="23" applyFont="1" applyBorder="1" applyAlignment="1">
      <alignment horizontal="center" vertical="top" wrapText="1"/>
    </xf>
    <xf numFmtId="0" fontId="7" fillId="0" borderId="0" xfId="23" applyAlignment="1">
      <alignment horizontal="left"/>
    </xf>
    <xf numFmtId="0" fontId="2" fillId="0" borderId="2" xfId="22" applyFont="1" applyBorder="1" applyAlignment="1">
      <alignment horizontal="center" vertical="center"/>
    </xf>
    <xf numFmtId="0" fontId="2" fillId="0" borderId="0" xfId="22" applyFont="1" applyAlignment="1">
      <alignment horizontal="center"/>
    </xf>
    <xf numFmtId="0" fontId="2" fillId="0" borderId="0" xfId="22" applyFont="1" applyAlignment="1">
      <alignment horizontal="left"/>
    </xf>
    <xf numFmtId="2" fontId="7" fillId="0" borderId="2" xfId="22" applyNumberFormat="1" applyFont="1" applyBorder="1" applyAlignment="1">
      <alignment horizontal="right" vertical="center"/>
    </xf>
    <xf numFmtId="0" fontId="13" fillId="0" borderId="2" xfId="24" applyFont="1" applyBorder="1" applyAlignment="1">
      <alignment horizontal="left" vertical="center" wrapText="1"/>
    </xf>
    <xf numFmtId="0" fontId="13" fillId="0" borderId="6" xfId="24" applyFont="1" applyBorder="1" applyAlignment="1">
      <alignment horizontal="left" vertical="center" wrapText="1"/>
    </xf>
    <xf numFmtId="2" fontId="7" fillId="0" borderId="2" xfId="24" applyNumberFormat="1" applyFont="1" applyBorder="1" applyAlignment="1">
      <alignment horizontal="right" vertical="center" wrapText="1"/>
    </xf>
    <xf numFmtId="0" fontId="7" fillId="0" borderId="2" xfId="24" applyFont="1" applyBorder="1" applyAlignment="1">
      <alignment horizontal="right" vertical="center" wrapText="1"/>
    </xf>
    <xf numFmtId="0" fontId="7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36" fillId="0" borderId="2" xfId="0" quotePrefix="1" applyFont="1" applyFill="1" applyBorder="1" applyAlignment="1">
      <alignment horizontal="center" vertical="top" wrapText="1"/>
    </xf>
    <xf numFmtId="1" fontId="0" fillId="0" borderId="2" xfId="0" applyNumberFormat="1" applyFill="1" applyBorder="1"/>
    <xf numFmtId="0" fontId="15" fillId="0" borderId="2" xfId="0" applyFont="1" applyFill="1" applyBorder="1"/>
    <xf numFmtId="0" fontId="7" fillId="0" borderId="0" xfId="3" applyFont="1" applyFill="1"/>
    <xf numFmtId="0" fontId="12" fillId="0" borderId="0" xfId="3" applyFont="1" applyFill="1"/>
    <xf numFmtId="0" fontId="2" fillId="0" borderId="0" xfId="3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top" wrapText="1"/>
    </xf>
    <xf numFmtId="0" fontId="2" fillId="0" borderId="5" xfId="3" applyFont="1" applyFill="1" applyBorder="1" applyAlignment="1">
      <alignment horizontal="center" vertical="top" wrapText="1"/>
    </xf>
    <xf numFmtId="0" fontId="17" fillId="0" borderId="2" xfId="3" applyFont="1" applyFill="1" applyBorder="1" applyAlignment="1">
      <alignment horizontal="center" vertical="top" wrapText="1"/>
    </xf>
    <xf numFmtId="0" fontId="2" fillId="0" borderId="0" xfId="3" applyFont="1" applyFill="1"/>
    <xf numFmtId="0" fontId="90" fillId="0" borderId="2" xfId="3" applyFont="1" applyFill="1" applyBorder="1" applyAlignment="1">
      <alignment horizontal="center"/>
    </xf>
    <xf numFmtId="0" fontId="90" fillId="0" borderId="2" xfId="3" applyFont="1" applyFill="1" applyBorder="1"/>
    <xf numFmtId="1" fontId="90" fillId="0" borderId="2" xfId="3" applyNumberFormat="1" applyFont="1" applyFill="1" applyBorder="1"/>
    <xf numFmtId="164" fontId="90" fillId="0" borderId="2" xfId="3" applyNumberFormat="1" applyFont="1" applyFill="1" applyBorder="1"/>
    <xf numFmtId="2" fontId="90" fillId="0" borderId="2" xfId="3" applyNumberFormat="1" applyFont="1" applyFill="1" applyBorder="1"/>
    <xf numFmtId="0" fontId="13" fillId="0" borderId="0" xfId="3" applyFont="1" applyFill="1"/>
    <xf numFmtId="1" fontId="91" fillId="0" borderId="2" xfId="3" applyNumberFormat="1" applyFont="1" applyFill="1" applyBorder="1"/>
    <xf numFmtId="164" fontId="91" fillId="0" borderId="2" xfId="3" applyNumberFormat="1" applyFont="1" applyFill="1" applyBorder="1"/>
    <xf numFmtId="0" fontId="15" fillId="0" borderId="0" xfId="3" applyFont="1" applyFill="1"/>
    <xf numFmtId="0" fontId="50" fillId="0" borderId="0" xfId="3" applyFont="1" applyFill="1" applyBorder="1" applyAlignment="1">
      <alignment horizontal="center"/>
    </xf>
    <xf numFmtId="0" fontId="50" fillId="0" borderId="0" xfId="3" applyFont="1" applyFill="1" applyBorder="1"/>
    <xf numFmtId="1" fontId="13" fillId="0" borderId="0" xfId="3" applyNumberFormat="1" applyFont="1" applyFill="1" applyBorder="1"/>
    <xf numFmtId="0" fontId="13" fillId="0" borderId="0" xfId="3" applyFont="1" applyFill="1" applyBorder="1"/>
    <xf numFmtId="1" fontId="7" fillId="0" borderId="0" xfId="3" applyNumberFormat="1" applyFont="1" applyFill="1"/>
    <xf numFmtId="0" fontId="7" fillId="0" borderId="0" xfId="3" applyFont="1" applyFill="1" applyAlignment="1">
      <alignment vertical="center"/>
    </xf>
    <xf numFmtId="0" fontId="2" fillId="0" borderId="2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vertical="center"/>
    </xf>
    <xf numFmtId="164" fontId="90" fillId="0" borderId="2" xfId="3" applyNumberFormat="1" applyFont="1" applyFill="1" applyBorder="1" applyAlignment="1">
      <alignment horizontal="right"/>
    </xf>
    <xf numFmtId="164" fontId="91" fillId="0" borderId="2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/>
    </xf>
    <xf numFmtId="1" fontId="91" fillId="0" borderId="0" xfId="3" applyNumberFormat="1" applyFont="1" applyFill="1" applyBorder="1"/>
    <xf numFmtId="164" fontId="91" fillId="0" borderId="0" xfId="3" applyNumberFormat="1" applyFont="1" applyFill="1" applyBorder="1" applyAlignment="1">
      <alignment horizontal="right"/>
    </xf>
    <xf numFmtId="164" fontId="91" fillId="0" borderId="0" xfId="3" applyNumberFormat="1" applyFont="1" applyFill="1" applyBorder="1"/>
    <xf numFmtId="0" fontId="92" fillId="0" borderId="2" xfId="3" applyFont="1" applyFill="1" applyBorder="1" applyAlignment="1">
      <alignment horizontal="center" vertical="top" wrapText="1"/>
    </xf>
    <xf numFmtId="0" fontId="17" fillId="0" borderId="0" xfId="3" applyFont="1" applyFill="1"/>
    <xf numFmtId="0" fontId="90" fillId="3" borderId="2" xfId="3" applyFont="1" applyFill="1" applyBorder="1"/>
    <xf numFmtId="1" fontId="91" fillId="3" borderId="2" xfId="3" applyNumberFormat="1" applyFont="1" applyFill="1" applyBorder="1"/>
    <xf numFmtId="0" fontId="91" fillId="0" borderId="2" xfId="3" applyFont="1" applyFill="1" applyBorder="1"/>
    <xf numFmtId="0" fontId="7" fillId="0" borderId="0" xfId="3" applyFont="1" applyFill="1" applyBorder="1"/>
    <xf numFmtId="165" fontId="13" fillId="0" borderId="0" xfId="3" applyNumberFormat="1" applyFont="1" applyFill="1" applyBorder="1"/>
    <xf numFmtId="0" fontId="2" fillId="0" borderId="2" xfId="23" quotePrefix="1" applyFont="1" applyBorder="1" applyAlignment="1">
      <alignment horizontal="center"/>
    </xf>
    <xf numFmtId="0" fontId="7" fillId="0" borderId="0" xfId="3"/>
    <xf numFmtId="0" fontId="2" fillId="0" borderId="2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0" fontId="2" fillId="0" borderId="0" xfId="3" applyFont="1"/>
    <xf numFmtId="0" fontId="7" fillId="0" borderId="2" xfId="3" applyFont="1" applyBorder="1"/>
    <xf numFmtId="0" fontId="2" fillId="0" borderId="2" xfId="3" applyFont="1" applyBorder="1"/>
    <xf numFmtId="0" fontId="7" fillId="0" borderId="2" xfId="3" applyFont="1" applyBorder="1" applyAlignment="1">
      <alignment horizontal="right"/>
    </xf>
    <xf numFmtId="0" fontId="7" fillId="0" borderId="2" xfId="3" applyFont="1" applyBorder="1" applyAlignment="1">
      <alignment wrapText="1"/>
    </xf>
    <xf numFmtId="1" fontId="7" fillId="0" borderId="2" xfId="3" applyNumberFormat="1" applyFont="1" applyBorder="1" applyAlignment="1">
      <alignment horizontal="right"/>
    </xf>
    <xf numFmtId="1" fontId="7" fillId="0" borderId="2" xfId="3" applyNumberFormat="1" applyBorder="1"/>
    <xf numFmtId="0" fontId="7" fillId="0" borderId="0" xfId="3" applyAlignment="1">
      <alignment horizontal="right"/>
    </xf>
    <xf numFmtId="0" fontId="7" fillId="0" borderId="2" xfId="3" applyFont="1" applyBorder="1" applyAlignment="1">
      <alignment horizontal="right" vertical="center"/>
    </xf>
    <xf numFmtId="164" fontId="7" fillId="0" borderId="2" xfId="3" applyNumberFormat="1" applyFont="1" applyBorder="1" applyAlignment="1">
      <alignment horizontal="right" vertical="center"/>
    </xf>
    <xf numFmtId="0" fontId="2" fillId="0" borderId="2" xfId="3" applyFont="1" applyBorder="1" applyAlignment="1">
      <alignment horizontal="right"/>
    </xf>
    <xf numFmtId="0" fontId="2" fillId="0" borderId="0" xfId="3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/>
    <xf numFmtId="0" fontId="2" fillId="0" borderId="2" xfId="8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/>
    </xf>
    <xf numFmtId="0" fontId="2" fillId="0" borderId="2" xfId="8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/>
    </xf>
    <xf numFmtId="0" fontId="2" fillId="0" borderId="0" xfId="8" applyFont="1" applyAlignment="1">
      <alignment horizontal="center" vertical="top" wrapText="1"/>
    </xf>
    <xf numFmtId="0" fontId="2" fillId="0" borderId="0" xfId="8" applyFont="1" applyAlignment="1">
      <alignment horizontal="center"/>
    </xf>
    <xf numFmtId="0" fontId="74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52" fillId="0" borderId="0" xfId="0" applyFont="1" applyFill="1" applyBorder="1" applyAlignment="1">
      <alignment horizontal="center" vertical="center"/>
    </xf>
    <xf numFmtId="0" fontId="7" fillId="0" borderId="0" xfId="22" applyFont="1"/>
    <xf numFmtId="0" fontId="2" fillId="0" borderId="2" xfId="0" applyFont="1" applyBorder="1" applyAlignment="1">
      <alignment vertical="top"/>
    </xf>
    <xf numFmtId="0" fontId="7" fillId="0" borderId="0" xfId="8" applyFont="1" applyFill="1"/>
    <xf numFmtId="0" fontId="5" fillId="0" borderId="0" xfId="8" applyFont="1" applyFill="1" applyAlignment="1"/>
    <xf numFmtId="0" fontId="5" fillId="0" borderId="0" xfId="8" applyFont="1" applyFill="1" applyAlignment="1">
      <alignment horizontal="center"/>
    </xf>
    <xf numFmtId="0" fontId="2" fillId="0" borderId="2" xfId="8" applyFont="1" applyFill="1" applyBorder="1" applyAlignment="1">
      <alignment horizontal="center" vertical="top" wrapText="1"/>
    </xf>
    <xf numFmtId="0" fontId="17" fillId="0" borderId="2" xfId="8" applyFont="1" applyFill="1" applyBorder="1" applyAlignment="1">
      <alignment horizontal="center"/>
    </xf>
    <xf numFmtId="0" fontId="2" fillId="0" borderId="2" xfId="8" applyFont="1" applyFill="1" applyBorder="1" applyAlignment="1">
      <alignment horizontal="center"/>
    </xf>
    <xf numFmtId="0" fontId="7" fillId="0" borderId="2" xfId="8" applyFont="1" applyFill="1" applyBorder="1" applyAlignment="1">
      <alignment horizontal="center"/>
    </xf>
    <xf numFmtId="164" fontId="89" fillId="0" borderId="2" xfId="8" applyNumberFormat="1" applyFont="1" applyFill="1" applyBorder="1" applyAlignment="1">
      <alignment horizontal="right"/>
    </xf>
    <xf numFmtId="0" fontId="9" fillId="0" borderId="0" xfId="8" applyFont="1" applyFill="1"/>
    <xf numFmtId="164" fontId="2" fillId="0" borderId="2" xfId="8" applyNumberFormat="1" applyFont="1" applyFill="1" applyBorder="1" applyAlignment="1">
      <alignment horizontal="right"/>
    </xf>
    <xf numFmtId="2" fontId="2" fillId="0" borderId="2" xfId="8" applyNumberFormat="1" applyFont="1" applyFill="1" applyBorder="1" applyAlignment="1">
      <alignment horizontal="right"/>
    </xf>
    <xf numFmtId="0" fontId="2" fillId="0" borderId="0" xfId="8" applyFont="1" applyFill="1"/>
    <xf numFmtId="0" fontId="104" fillId="0" borderId="0" xfId="8" applyFont="1" applyFill="1"/>
    <xf numFmtId="0" fontId="2" fillId="0" borderId="0" xfId="0" applyFont="1" applyFill="1" applyAlignment="1">
      <alignment vertical="top" wrapText="1"/>
    </xf>
    <xf numFmtId="0" fontId="2" fillId="0" borderId="0" xfId="8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2" fillId="0" borderId="2" xfId="0" applyFont="1" applyBorder="1" applyAlignment="1"/>
    <xf numFmtId="0" fontId="40" fillId="0" borderId="2" xfId="0" applyFont="1" applyBorder="1" applyAlignment="1"/>
    <xf numFmtId="0" fontId="34" fillId="0" borderId="2" xfId="0" applyFont="1" applyBorder="1"/>
    <xf numFmtId="0" fontId="35" fillId="0" borderId="2" xfId="0" applyFont="1" applyBorder="1" applyAlignment="1"/>
    <xf numFmtId="0" fontId="6" fillId="0" borderId="0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2" xfId="0" applyFont="1" applyBorder="1" applyAlignment="1">
      <alignment horizontal="center"/>
    </xf>
    <xf numFmtId="0" fontId="7" fillId="0" borderId="0" xfId="3" applyFont="1" applyFill="1" applyAlignment="1"/>
    <xf numFmtId="0" fontId="91" fillId="0" borderId="0" xfId="3" applyFont="1" applyFill="1" applyBorder="1" applyAlignment="1">
      <alignment horizontal="center"/>
    </xf>
    <xf numFmtId="164" fontId="90" fillId="0" borderId="0" xfId="3" applyNumberFormat="1" applyFont="1" applyFill="1" applyBorder="1"/>
    <xf numFmtId="0" fontId="2" fillId="0" borderId="0" xfId="3" applyFont="1" applyFill="1" applyAlignment="1"/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7" fillId="0" borderId="0" xfId="23" applyFont="1"/>
    <xf numFmtId="0" fontId="2" fillId="0" borderId="0" xfId="23" applyFont="1" applyAlignment="1">
      <alignment vertical="top" wrapText="1"/>
    </xf>
    <xf numFmtId="0" fontId="6" fillId="0" borderId="0" xfId="23" applyFont="1" applyAlignment="1">
      <alignment vertical="top" wrapText="1"/>
    </xf>
    <xf numFmtId="0" fontId="7" fillId="0" borderId="0" xfId="22" applyFont="1" applyAlignment="1"/>
    <xf numFmtId="0" fontId="2" fillId="0" borderId="0" xfId="23" applyFont="1" applyAlignment="1"/>
    <xf numFmtId="2" fontId="2" fillId="0" borderId="0" xfId="22" applyNumberFormat="1" applyFont="1" applyBorder="1"/>
    <xf numFmtId="2" fontId="2" fillId="0" borderId="0" xfId="22" applyNumberFormat="1" applyFont="1" applyBorder="1" applyAlignment="1">
      <alignment horizontal="right" vertical="center"/>
    </xf>
    <xf numFmtId="2" fontId="2" fillId="0" borderId="0" xfId="22" applyNumberFormat="1" applyFont="1" applyBorder="1" applyAlignment="1">
      <alignment horizontal="right"/>
    </xf>
    <xf numFmtId="0" fontId="87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99" fillId="0" borderId="2" xfId="0" applyFont="1" applyBorder="1"/>
    <xf numFmtId="0" fontId="7" fillId="0" borderId="2" xfId="0" applyFont="1" applyBorder="1" applyAlignment="1">
      <alignment horizontal="center"/>
    </xf>
    <xf numFmtId="2" fontId="0" fillId="3" borderId="2" xfId="0" applyNumberFormat="1" applyFill="1" applyBorder="1"/>
    <xf numFmtId="2" fontId="2" fillId="3" borderId="2" xfId="0" applyNumberFormat="1" applyFont="1" applyFill="1" applyBorder="1"/>
    <xf numFmtId="166" fontId="2" fillId="0" borderId="0" xfId="0" applyNumberFormat="1" applyFont="1"/>
    <xf numFmtId="164" fontId="7" fillId="0" borderId="11" xfId="0" applyNumberFormat="1" applyFont="1" applyFill="1" applyBorder="1"/>
    <xf numFmtId="164" fontId="6" fillId="0" borderId="5" xfId="0" applyNumberFormat="1" applyFont="1" applyBorder="1"/>
    <xf numFmtId="164" fontId="7" fillId="0" borderId="0" xfId="8" applyNumberFormat="1" applyFont="1" applyFill="1"/>
    <xf numFmtId="0" fontId="7" fillId="0" borderId="2" xfId="0" applyFont="1" applyBorder="1" applyAlignment="1">
      <alignment horizontal="center"/>
    </xf>
    <xf numFmtId="0" fontId="7" fillId="0" borderId="0" xfId="0" applyFont="1"/>
    <xf numFmtId="0" fontId="2" fillId="0" borderId="2" xfId="22" applyFont="1" applyBorder="1" applyAlignment="1">
      <alignment horizontal="center" vertical="top" wrapText="1"/>
    </xf>
    <xf numFmtId="0" fontId="2" fillId="0" borderId="0" xfId="22" applyFont="1" applyAlignment="1">
      <alignment horizontal="center"/>
    </xf>
    <xf numFmtId="0" fontId="2" fillId="0" borderId="0" xfId="22" applyFont="1" applyAlignment="1">
      <alignment horizontal="left"/>
    </xf>
    <xf numFmtId="2" fontId="15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2" fontId="114" fillId="0" borderId="2" xfId="0" applyNumberFormat="1" applyFont="1" applyBorder="1" applyAlignment="1">
      <alignment wrapText="1"/>
    </xf>
    <xf numFmtId="0" fontId="114" fillId="0" borderId="2" xfId="0" applyFont="1" applyBorder="1" applyAlignment="1">
      <alignment wrapText="1"/>
    </xf>
    <xf numFmtId="2" fontId="114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6" fillId="0" borderId="0" xfId="22" applyFont="1" applyAlignment="1">
      <alignment horizontal="right" vertical="top" wrapText="1"/>
    </xf>
    <xf numFmtId="0" fontId="7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2" borderId="0" xfId="0" applyFont="1" applyFill="1" applyBorder="1"/>
    <xf numFmtId="1" fontId="0" fillId="0" borderId="0" xfId="0" applyNumberFormat="1" applyBorder="1"/>
    <xf numFmtId="2" fontId="0" fillId="0" borderId="0" xfId="0" applyNumberFormat="1" applyBorder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5" fillId="0" borderId="0" xfId="0" applyNumberFormat="1" applyFont="1" applyBorder="1"/>
    <xf numFmtId="0" fontId="99" fillId="0" borderId="0" xfId="0" applyFont="1" applyBorder="1"/>
    <xf numFmtId="2" fontId="104" fillId="0" borderId="0" xfId="0" applyNumberFormat="1" applyFont="1" applyBorder="1"/>
    <xf numFmtId="2" fontId="0" fillId="3" borderId="0" xfId="0" applyNumberFormat="1" applyFill="1" applyBorder="1"/>
    <xf numFmtId="0" fontId="122" fillId="0" borderId="20" xfId="0" applyFont="1" applyBorder="1" applyAlignment="1">
      <alignment horizontal="center" vertical="center" wrapText="1"/>
    </xf>
    <xf numFmtId="0" fontId="123" fillId="0" borderId="23" xfId="0" applyFont="1" applyBorder="1" applyAlignment="1">
      <alignment vertical="center" wrapText="1"/>
    </xf>
    <xf numFmtId="0" fontId="123" fillId="0" borderId="23" xfId="0" applyFont="1" applyBorder="1" applyAlignment="1">
      <alignment horizontal="center" vertical="center" wrapText="1"/>
    </xf>
    <xf numFmtId="0" fontId="116" fillId="0" borderId="23" xfId="0" applyFont="1" applyBorder="1" applyAlignment="1">
      <alignment vertical="center" wrapText="1"/>
    </xf>
    <xf numFmtId="0" fontId="123" fillId="0" borderId="24" xfId="0" applyFont="1" applyBorder="1" applyAlignment="1">
      <alignment vertical="center" wrapText="1"/>
    </xf>
    <xf numFmtId="0" fontId="122" fillId="0" borderId="23" xfId="0" applyFont="1" applyBorder="1" applyAlignment="1">
      <alignment vertical="center" wrapText="1"/>
    </xf>
    <xf numFmtId="0" fontId="122" fillId="0" borderId="23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0" fontId="117" fillId="0" borderId="23" xfId="0" applyFont="1" applyBorder="1" applyAlignment="1">
      <alignment horizontal="center" vertical="center" wrapText="1"/>
    </xf>
    <xf numFmtId="0" fontId="116" fillId="0" borderId="23" xfId="0" applyFont="1" applyBorder="1" applyAlignment="1">
      <alignment horizontal="center" vertical="center" wrapText="1"/>
    </xf>
    <xf numFmtId="0" fontId="117" fillId="0" borderId="23" xfId="0" applyFont="1" applyBorder="1" applyAlignment="1">
      <alignment vertical="center" wrapText="1"/>
    </xf>
    <xf numFmtId="0" fontId="116" fillId="0" borderId="20" xfId="0" applyFont="1" applyBorder="1" applyAlignment="1">
      <alignment horizontal="center" vertical="center" wrapText="1"/>
    </xf>
    <xf numFmtId="0" fontId="1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8" fillId="0" borderId="0" xfId="0" applyFont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22" fillId="0" borderId="19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/>
    </xf>
    <xf numFmtId="0" fontId="116" fillId="0" borderId="21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17" fillId="0" borderId="19" xfId="0" applyFont="1" applyBorder="1" applyAlignment="1">
      <alignment horizontal="left" vertical="center" wrapText="1"/>
    </xf>
    <xf numFmtId="0" fontId="120" fillId="0" borderId="0" xfId="0" applyFont="1" applyAlignment="1">
      <alignment horizontal="left" vertical="center"/>
    </xf>
    <xf numFmtId="0" fontId="129" fillId="0" borderId="0" xfId="0" applyFont="1" applyAlignment="1">
      <alignment horizontal="left" vertical="center"/>
    </xf>
    <xf numFmtId="0" fontId="116" fillId="0" borderId="19" xfId="0" applyFont="1" applyBorder="1" applyAlignment="1">
      <alignment horizontal="left" vertical="center" wrapText="1"/>
    </xf>
    <xf numFmtId="0" fontId="117" fillId="0" borderId="21" xfId="0" applyFont="1" applyBorder="1" applyAlignment="1">
      <alignment horizontal="left" vertical="center" wrapText="1"/>
    </xf>
    <xf numFmtId="0" fontId="130" fillId="0" borderId="0" xfId="0" applyFont="1" applyAlignment="1">
      <alignment horizontal="left" vertical="center"/>
    </xf>
    <xf numFmtId="0" fontId="117" fillId="0" borderId="0" xfId="0" applyFont="1" applyAlignment="1">
      <alignment horizontal="left" vertical="center"/>
    </xf>
    <xf numFmtId="0" fontId="80" fillId="0" borderId="0" xfId="3" applyFont="1" applyFill="1"/>
    <xf numFmtId="14" fontId="7" fillId="0" borderId="2" xfId="24" applyNumberFormat="1" applyFont="1" applyBorder="1" applyAlignment="1">
      <alignment horizontal="right" vertical="center" wrapText="1"/>
    </xf>
    <xf numFmtId="0" fontId="13" fillId="0" borderId="2" xfId="24" applyFont="1" applyBorder="1" applyAlignment="1">
      <alignment horizontal="left" vertical="center"/>
    </xf>
    <xf numFmtId="0" fontId="13" fillId="0" borderId="6" xfId="24" applyFont="1" applyBorder="1" applyAlignment="1">
      <alignment horizontal="left" vertical="center"/>
    </xf>
    <xf numFmtId="0" fontId="6" fillId="0" borderId="0" xfId="22" applyFont="1" applyAlignment="1"/>
    <xf numFmtId="0" fontId="0" fillId="3" borderId="10" xfId="0" applyFont="1" applyFill="1" applyBorder="1"/>
    <xf numFmtId="1" fontId="7" fillId="0" borderId="0" xfId="0" applyNumberFormat="1" applyFont="1" applyBorder="1"/>
    <xf numFmtId="9" fontId="2" fillId="0" borderId="0" xfId="38" applyFont="1" applyAlignment="1">
      <alignment horizontal="center" vertical="top" wrapText="1"/>
    </xf>
    <xf numFmtId="2" fontId="2" fillId="0" borderId="0" xfId="0" applyNumberFormat="1" applyFont="1" applyAlignment="1"/>
    <xf numFmtId="164" fontId="2" fillId="0" borderId="0" xfId="0" applyNumberFormat="1" applyFont="1" applyBorder="1" applyAlignment="1"/>
    <xf numFmtId="164" fontId="2" fillId="4" borderId="0" xfId="0" applyNumberFormat="1" applyFont="1" applyFill="1" applyBorder="1" applyAlignment="1"/>
    <xf numFmtId="2" fontId="98" fillId="4" borderId="2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2" xfId="23" applyFont="1" applyBorder="1" applyAlignment="1">
      <alignment horizontal="center" vertical="top" wrapText="1"/>
    </xf>
    <xf numFmtId="2" fontId="6" fillId="0" borderId="0" xfId="0" applyNumberFormat="1" applyFont="1"/>
    <xf numFmtId="0" fontId="7" fillId="0" borderId="0" xfId="0" applyFont="1" applyAlignment="1"/>
    <xf numFmtId="2" fontId="60" fillId="4" borderId="2" xfId="23" applyNumberFormat="1" applyFont="1" applyFill="1" applyBorder="1"/>
    <xf numFmtId="2" fontId="64" fillId="4" borderId="2" xfId="23" applyNumberFormat="1" applyFont="1" applyFill="1" applyBorder="1"/>
    <xf numFmtId="9" fontId="0" fillId="0" borderId="0" xfId="38" applyFont="1"/>
    <xf numFmtId="0" fontId="2" fillId="0" borderId="2" xfId="23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2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17" fillId="0" borderId="9" xfId="0" quotePrefix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64" fontId="88" fillId="0" borderId="2" xfId="0" applyNumberFormat="1" applyFont="1" applyBorder="1" applyAlignment="1">
      <alignment horizontal="right" vertical="center"/>
    </xf>
    <xf numFmtId="0" fontId="8" fillId="0" borderId="5" xfId="22" applyFont="1" applyBorder="1" applyAlignment="1">
      <alignment horizontal="left" vertical="center" wrapText="1"/>
    </xf>
    <xf numFmtId="0" fontId="8" fillId="0" borderId="9" xfId="22" applyFont="1" applyBorder="1" applyAlignment="1">
      <alignment horizontal="left" vertical="center" wrapText="1"/>
    </xf>
    <xf numFmtId="0" fontId="8" fillId="0" borderId="6" xfId="22" applyFont="1" applyBorder="1" applyAlignment="1">
      <alignment horizontal="left" vertical="center" wrapText="1"/>
    </xf>
    <xf numFmtId="0" fontId="71" fillId="0" borderId="7" xfId="0" applyFont="1" applyBorder="1" applyAlignment="1">
      <alignment horizontal="center"/>
    </xf>
    <xf numFmtId="0" fontId="2" fillId="0" borderId="2" xfId="2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0" borderId="2" xfId="0" applyFont="1" applyBorder="1" applyAlignment="1">
      <alignment vertical="top"/>
    </xf>
    <xf numFmtId="0" fontId="11" fillId="0" borderId="0" xfId="22" applyFont="1" applyAlignment="1">
      <alignment horizontal="center"/>
    </xf>
    <xf numFmtId="0" fontId="5" fillId="0" borderId="0" xfId="22" applyFont="1" applyAlignment="1">
      <alignment horizontal="center"/>
    </xf>
    <xf numFmtId="0" fontId="26" fillId="0" borderId="0" xfId="22" applyFont="1" applyAlignment="1">
      <alignment horizontal="center"/>
    </xf>
    <xf numFmtId="0" fontId="31" fillId="0" borderId="0" xfId="22" applyFont="1" applyAlignment="1">
      <alignment horizontal="center"/>
    </xf>
    <xf numFmtId="0" fontId="2" fillId="0" borderId="0" xfId="24" applyFont="1" applyAlignment="1">
      <alignment horizontal="left"/>
    </xf>
    <xf numFmtId="0" fontId="17" fillId="0" borderId="7" xfId="24" applyFont="1" applyBorder="1" applyAlignment="1">
      <alignment horizontal="right"/>
    </xf>
    <xf numFmtId="0" fontId="15" fillId="0" borderId="2" xfId="24" applyFont="1" applyBorder="1" applyAlignment="1">
      <alignment horizontal="center" vertical="top" wrapText="1"/>
    </xf>
    <xf numFmtId="0" fontId="15" fillId="0" borderId="1" xfId="24" applyFont="1" applyBorder="1" applyAlignment="1">
      <alignment horizontal="center" vertical="center" wrapText="1"/>
    </xf>
    <xf numFmtId="0" fontId="15" fillId="0" borderId="10" xfId="24" applyFont="1" applyBorder="1" applyAlignment="1">
      <alignment horizontal="center" vertical="center" wrapText="1"/>
    </xf>
    <xf numFmtId="0" fontId="15" fillId="0" borderId="3" xfId="24" applyFont="1" applyBorder="1" applyAlignment="1">
      <alignment horizontal="center" vertical="center" wrapText="1"/>
    </xf>
    <xf numFmtId="0" fontId="15" fillId="0" borderId="12" xfId="24" applyFont="1" applyBorder="1" applyAlignment="1">
      <alignment horizontal="center" vertical="center" wrapText="1"/>
    </xf>
    <xf numFmtId="0" fontId="15" fillId="0" borderId="13" xfId="24" applyFont="1" applyBorder="1" applyAlignment="1">
      <alignment horizontal="center" vertical="center" wrapText="1"/>
    </xf>
    <xf numFmtId="0" fontId="15" fillId="0" borderId="14" xfId="24" applyFont="1" applyBorder="1" applyAlignment="1">
      <alignment horizontal="center" vertical="center" wrapText="1"/>
    </xf>
    <xf numFmtId="0" fontId="15" fillId="0" borderId="8" xfId="24" applyFont="1" applyBorder="1" applyAlignment="1">
      <alignment horizontal="center" vertical="center" wrapText="1"/>
    </xf>
    <xf numFmtId="0" fontId="15" fillId="0" borderId="7" xfId="24" applyFont="1" applyBorder="1" applyAlignment="1">
      <alignment horizontal="center" vertical="center" wrapText="1"/>
    </xf>
    <xf numFmtId="0" fontId="15" fillId="0" borderId="15" xfId="24" applyFont="1" applyBorder="1" applyAlignment="1">
      <alignment horizontal="center" vertical="center" wrapText="1"/>
    </xf>
    <xf numFmtId="0" fontId="15" fillId="0" borderId="2" xfId="24" applyFont="1" applyBorder="1" applyAlignment="1">
      <alignment horizontal="center" vertical="center" wrapText="1"/>
    </xf>
    <xf numFmtId="0" fontId="15" fillId="0" borderId="12" xfId="24" applyFont="1" applyBorder="1" applyAlignment="1">
      <alignment horizontal="center" vertical="top" wrapText="1"/>
    </xf>
    <xf numFmtId="0" fontId="15" fillId="0" borderId="13" xfId="24" applyFont="1" applyBorder="1" applyAlignment="1">
      <alignment horizontal="center" vertical="top" wrapText="1"/>
    </xf>
    <xf numFmtId="0" fontId="15" fillId="0" borderId="14" xfId="24" applyFont="1" applyBorder="1" applyAlignment="1">
      <alignment horizontal="center" vertical="top" wrapText="1"/>
    </xf>
    <xf numFmtId="0" fontId="15" fillId="0" borderId="8" xfId="24" applyFont="1" applyBorder="1" applyAlignment="1">
      <alignment horizontal="center" vertical="top" wrapText="1"/>
    </xf>
    <xf numFmtId="0" fontId="15" fillId="0" borderId="7" xfId="24" applyFont="1" applyBorder="1" applyAlignment="1">
      <alignment horizontal="center" vertical="top" wrapText="1"/>
    </xf>
    <xf numFmtId="0" fontId="15" fillId="0" borderId="15" xfId="24" applyFont="1" applyBorder="1" applyAlignment="1">
      <alignment horizontal="center" vertical="top" wrapText="1"/>
    </xf>
    <xf numFmtId="0" fontId="12" fillId="0" borderId="5" xfId="24" applyFont="1" applyBorder="1" applyAlignment="1">
      <alignment horizontal="center" vertical="center" wrapText="1"/>
    </xf>
    <xf numFmtId="0" fontId="12" fillId="0" borderId="6" xfId="24" applyFont="1" applyBorder="1" applyAlignment="1">
      <alignment horizontal="center" vertical="center" wrapText="1"/>
    </xf>
    <xf numFmtId="0" fontId="13" fillId="0" borderId="0" xfId="24" applyFont="1" applyAlignment="1">
      <alignment horizontal="left"/>
    </xf>
    <xf numFmtId="0" fontId="6" fillId="0" borderId="0" xfId="22" applyFont="1" applyAlignment="1">
      <alignment horizontal="right" vertical="top" wrapText="1"/>
    </xf>
    <xf numFmtId="0" fontId="2" fillId="0" borderId="0" xfId="11" applyFont="1" applyAlignment="1">
      <alignment horizontal="center" vertical="top" wrapText="1"/>
    </xf>
    <xf numFmtId="0" fontId="2" fillId="0" borderId="0" xfId="11" applyFont="1" applyAlignment="1">
      <alignment horizontal="center"/>
    </xf>
    <xf numFmtId="0" fontId="79" fillId="0" borderId="0" xfId="22" applyFont="1" applyAlignment="1">
      <alignment horizontal="left" vertical="center"/>
    </xf>
    <xf numFmtId="0" fontId="49" fillId="0" borderId="0" xfId="22" applyFont="1" applyAlignment="1">
      <alignment horizontal="left" vertical="center" wrapText="1"/>
    </xf>
    <xf numFmtId="0" fontId="79" fillId="0" borderId="0" xfId="22" applyFont="1" applyAlignment="1">
      <alignment horizontal="left" vertical="center" wrapText="1"/>
    </xf>
    <xf numFmtId="0" fontId="2" fillId="0" borderId="0" xfId="11" applyFont="1" applyAlignment="1">
      <alignment horizontal="center" vertical="top"/>
    </xf>
    <xf numFmtId="0" fontId="2" fillId="0" borderId="5" xfId="22" applyFont="1" applyBorder="1" applyAlignment="1">
      <alignment horizontal="center"/>
    </xf>
    <xf numFmtId="0" fontId="2" fillId="0" borderId="6" xfId="22" applyFont="1" applyBorder="1" applyAlignment="1">
      <alignment horizontal="center"/>
    </xf>
    <xf numFmtId="0" fontId="35" fillId="0" borderId="2" xfId="22" applyFont="1" applyBorder="1" applyAlignment="1">
      <alignment horizontal="left"/>
    </xf>
    <xf numFmtId="0" fontId="32" fillId="0" borderId="0" xfId="22" applyFont="1" applyAlignment="1">
      <alignment horizontal="center"/>
    </xf>
    <xf numFmtId="0" fontId="33" fillId="0" borderId="0" xfId="22" applyFont="1" applyAlignment="1">
      <alignment horizontal="center"/>
    </xf>
    <xf numFmtId="0" fontId="32" fillId="0" borderId="0" xfId="22" applyFont="1" applyAlignment="1">
      <alignment horizontal="center" wrapText="1"/>
    </xf>
    <xf numFmtId="0" fontId="14" fillId="0" borderId="0" xfId="22" applyFont="1" applyAlignment="1">
      <alignment horizontal="center"/>
    </xf>
    <xf numFmtId="0" fontId="17" fillId="0" borderId="7" xfId="22" applyFont="1" applyBorder="1" applyAlignment="1">
      <alignment horizontal="right"/>
    </xf>
    <xf numFmtId="0" fontId="2" fillId="0" borderId="2" xfId="22" applyFont="1" applyBorder="1" applyAlignment="1">
      <alignment horizontal="center" vertical="center" wrapText="1"/>
    </xf>
    <xf numFmtId="0" fontId="2" fillId="3" borderId="2" xfId="22" applyFont="1" applyFill="1" applyBorder="1" applyAlignment="1">
      <alignment horizontal="center" vertical="center" wrapText="1"/>
    </xf>
    <xf numFmtId="0" fontId="80" fillId="3" borderId="2" xfId="22" applyFont="1" applyFill="1" applyBorder="1" applyAlignment="1">
      <alignment horizontal="center" vertical="center" wrapText="1"/>
    </xf>
    <xf numFmtId="0" fontId="2" fillId="0" borderId="0" xfId="8" applyFont="1" applyAlignment="1">
      <alignment horizontal="center" vertical="top" wrapText="1"/>
    </xf>
    <xf numFmtId="0" fontId="2" fillId="0" borderId="0" xfId="8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9" applyFont="1" applyAlignment="1">
      <alignment horizontal="center" vertical="top" wrapText="1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2" xfId="8" applyFont="1" applyFill="1" applyBorder="1" applyAlignment="1">
      <alignment horizontal="center" vertical="top" wrapText="1"/>
    </xf>
    <xf numFmtId="0" fontId="2" fillId="0" borderId="2" xfId="8" applyFont="1" applyFill="1" applyBorder="1" applyAlignment="1">
      <alignment horizontal="center"/>
    </xf>
    <xf numFmtId="0" fontId="8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right"/>
    </xf>
    <xf numFmtId="0" fontId="6" fillId="0" borderId="0" xfId="8" applyFont="1" applyFill="1" applyAlignment="1">
      <alignment horizontal="center"/>
    </xf>
    <xf numFmtId="0" fontId="11" fillId="0" borderId="0" xfId="8" applyFont="1" applyFill="1" applyAlignment="1">
      <alignment horizontal="center"/>
    </xf>
    <xf numFmtId="0" fontId="8" fillId="0" borderId="0" xfId="8" applyFont="1" applyFill="1" applyBorder="1" applyAlignment="1">
      <alignment horizontal="left"/>
    </xf>
    <xf numFmtId="0" fontId="17" fillId="0" borderId="7" xfId="0" applyFont="1" applyFill="1" applyBorder="1" applyAlignment="1">
      <alignment horizontal="right"/>
    </xf>
    <xf numFmtId="0" fontId="57" fillId="0" borderId="12" xfId="0" applyFont="1" applyBorder="1" applyAlignment="1">
      <alignment horizontal="center" vertical="center" textRotation="45" wrapText="1"/>
    </xf>
    <xf numFmtId="0" fontId="57" fillId="0" borderId="13" xfId="0" applyFont="1" applyBorder="1" applyAlignment="1">
      <alignment horizontal="center" vertical="center" textRotation="45" wrapText="1"/>
    </xf>
    <xf numFmtId="0" fontId="57" fillId="0" borderId="14" xfId="0" applyFont="1" applyBorder="1" applyAlignment="1">
      <alignment horizontal="center" vertical="center" textRotation="45" wrapText="1"/>
    </xf>
    <xf numFmtId="0" fontId="57" fillId="0" borderId="11" xfId="0" applyFont="1" applyBorder="1" applyAlignment="1">
      <alignment horizontal="center" vertical="center" textRotation="45" wrapText="1"/>
    </xf>
    <xf numFmtId="0" fontId="57" fillId="0" borderId="0" xfId="0" applyFont="1" applyBorder="1" applyAlignment="1">
      <alignment horizontal="center" vertical="center" textRotation="45" wrapText="1"/>
    </xf>
    <xf numFmtId="0" fontId="57" fillId="0" borderId="16" xfId="0" applyFont="1" applyBorder="1" applyAlignment="1">
      <alignment horizontal="center" vertical="center" textRotation="45" wrapText="1"/>
    </xf>
    <xf numFmtId="0" fontId="57" fillId="0" borderId="8" xfId="0" applyFont="1" applyBorder="1" applyAlignment="1">
      <alignment horizontal="center" vertical="center" textRotation="45" wrapText="1"/>
    </xf>
    <xf numFmtId="0" fontId="57" fillId="0" borderId="7" xfId="0" applyFont="1" applyBorder="1" applyAlignment="1">
      <alignment horizontal="center" vertical="center" textRotation="45" wrapText="1"/>
    </xf>
    <xf numFmtId="0" fontId="57" fillId="0" borderId="15" xfId="0" applyFont="1" applyBorder="1" applyAlignment="1">
      <alignment horizontal="center" vertical="center" textRotation="45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1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12" fillId="0" borderId="13" xfId="0" applyFont="1" applyBorder="1" applyAlignment="1">
      <alignment horizontal="center" vertical="center"/>
    </xf>
    <xf numFmtId="1" fontId="11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2" fontId="89" fillId="0" borderId="2" xfId="0" applyNumberFormat="1" applyFont="1" applyBorder="1" applyAlignment="1">
      <alignment horizontal="center" vertical="top" wrapText="1"/>
    </xf>
    <xf numFmtId="0" fontId="89" fillId="0" borderId="2" xfId="0" applyFont="1" applyBorder="1" applyAlignment="1">
      <alignment horizontal="center" vertical="top" wrapText="1"/>
    </xf>
    <xf numFmtId="2" fontId="89" fillId="0" borderId="1" xfId="0" applyNumberFormat="1" applyFont="1" applyBorder="1" applyAlignment="1">
      <alignment horizontal="center" vertical="top" wrapText="1"/>
    </xf>
    <xf numFmtId="2" fontId="89" fillId="0" borderId="10" xfId="0" applyNumberFormat="1" applyFont="1" applyBorder="1" applyAlignment="1">
      <alignment horizontal="center" vertical="top" wrapText="1"/>
    </xf>
    <xf numFmtId="2" fontId="89" fillId="0" borderId="3" xfId="0" applyNumberFormat="1" applyFont="1" applyBorder="1" applyAlignment="1">
      <alignment horizontal="center" vertical="top" wrapText="1"/>
    </xf>
    <xf numFmtId="0" fontId="89" fillId="0" borderId="2" xfId="0" applyFont="1" applyBorder="1" applyAlignment="1">
      <alignment horizontal="center"/>
    </xf>
    <xf numFmtId="2" fontId="89" fillId="0" borderId="2" xfId="0" applyNumberFormat="1" applyFont="1" applyBorder="1" applyAlignment="1">
      <alignment horizontal="center"/>
    </xf>
    <xf numFmtId="2" fontId="89" fillId="0" borderId="1" xfId="0" applyNumberFormat="1" applyFont="1" applyBorder="1" applyAlignment="1">
      <alignment horizontal="center"/>
    </xf>
    <xf numFmtId="2" fontId="89" fillId="0" borderId="10" xfId="0" applyNumberFormat="1" applyFont="1" applyBorder="1" applyAlignment="1">
      <alignment horizontal="center"/>
    </xf>
    <xf numFmtId="2" fontId="89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74" fillId="0" borderId="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77" fillId="0" borderId="0" xfId="0" applyFont="1" applyBorder="1" applyAlignment="1">
      <alignment horizontal="center" vertical="top"/>
    </xf>
    <xf numFmtId="0" fontId="74" fillId="0" borderId="1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right"/>
    </xf>
    <xf numFmtId="0" fontId="35" fillId="0" borderId="2" xfId="0" applyFont="1" applyBorder="1" applyAlignment="1">
      <alignment horizontal="right"/>
    </xf>
    <xf numFmtId="0" fontId="32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" fillId="0" borderId="0" xfId="8" applyFont="1" applyBorder="1" applyAlignment="1">
      <alignment horizontal="center" vertical="top" wrapText="1"/>
    </xf>
    <xf numFmtId="0" fontId="2" fillId="3" borderId="1" xfId="8" quotePrefix="1" applyFont="1" applyFill="1" applyBorder="1" applyAlignment="1">
      <alignment horizontal="center" vertical="center" wrapText="1"/>
    </xf>
    <xf numFmtId="0" fontId="2" fillId="3" borderId="3" xfId="8" quotePrefix="1" applyFont="1" applyFill="1" applyBorder="1" applyAlignment="1">
      <alignment horizontal="center" vertical="center" wrapText="1"/>
    </xf>
    <xf numFmtId="0" fontId="2" fillId="3" borderId="5" xfId="8" quotePrefix="1" applyFont="1" applyFill="1" applyBorder="1" applyAlignment="1">
      <alignment horizontal="center" vertical="center" wrapText="1"/>
    </xf>
    <xf numFmtId="0" fontId="2" fillId="3" borderId="9" xfId="8" quotePrefix="1" applyFont="1" applyFill="1" applyBorder="1" applyAlignment="1">
      <alignment horizontal="center" vertical="center" wrapText="1"/>
    </xf>
    <xf numFmtId="0" fontId="2" fillId="3" borderId="6" xfId="8" quotePrefix="1" applyFont="1" applyFill="1" applyBorder="1" applyAlignment="1">
      <alignment horizontal="center" vertical="center" wrapText="1"/>
    </xf>
    <xf numFmtId="0" fontId="2" fillId="0" borderId="2" xfId="8" applyFont="1" applyBorder="1" applyAlignment="1">
      <alignment horizontal="left" vertical="center"/>
    </xf>
    <xf numFmtId="0" fontId="6" fillId="0" borderId="0" xfId="8" applyFont="1" applyAlignment="1">
      <alignment horizontal="center"/>
    </xf>
    <xf numFmtId="0" fontId="11" fillId="0" borderId="0" xfId="8" applyFont="1" applyAlignment="1">
      <alignment horizontal="center"/>
    </xf>
    <xf numFmtId="0" fontId="5" fillId="0" borderId="0" xfId="8" applyFont="1" applyAlignment="1">
      <alignment horizontal="center"/>
    </xf>
    <xf numFmtId="0" fontId="5" fillId="0" borderId="0" xfId="8" applyFont="1" applyAlignment="1"/>
    <xf numFmtId="0" fontId="2" fillId="0" borderId="0" xfId="8" applyFont="1" applyAlignment="1">
      <alignment horizontal="left"/>
    </xf>
    <xf numFmtId="0" fontId="2" fillId="0" borderId="2" xfId="9" applyFont="1" applyBorder="1" applyAlignment="1">
      <alignment horizontal="center"/>
    </xf>
    <xf numFmtId="0" fontId="2" fillId="0" borderId="0" xfId="8" applyFont="1" applyBorder="1" applyAlignment="1">
      <alignment horizontal="right" vertical="top" wrapText="1"/>
    </xf>
    <xf numFmtId="0" fontId="2" fillId="0" borderId="0" xfId="8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0" fillId="0" borderId="5" xfId="0" applyFont="1" applyFill="1" applyBorder="1" applyAlignment="1">
      <alignment horizontal="center" vertical="top" wrapText="1"/>
    </xf>
    <xf numFmtId="0" fontId="70" fillId="0" borderId="9" xfId="0" applyFont="1" applyFill="1" applyBorder="1" applyAlignment="1">
      <alignment horizontal="center" vertical="top" wrapText="1"/>
    </xf>
    <xf numFmtId="0" fontId="70" fillId="0" borderId="6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5" fillId="0" borderId="7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66" fillId="0" borderId="2" xfId="0" applyFont="1" applyBorder="1" applyAlignment="1">
      <alignment horizontal="center" vertical="center" wrapText="1"/>
    </xf>
    <xf numFmtId="2" fontId="66" fillId="0" borderId="2" xfId="0" applyNumberFormat="1" applyFont="1" applyBorder="1" applyAlignment="1">
      <alignment horizontal="center" vertical="center" wrapText="1"/>
    </xf>
    <xf numFmtId="0" fontId="2" fillId="0" borderId="2" xfId="22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22" applyFont="1" applyAlignment="1">
      <alignment horizontal="center"/>
    </xf>
    <xf numFmtId="0" fontId="8" fillId="0" borderId="0" xfId="22" applyFont="1" applyAlignment="1">
      <alignment horizontal="center"/>
    </xf>
    <xf numFmtId="0" fontId="2" fillId="0" borderId="2" xfId="22" applyFont="1" applyBorder="1" applyAlignment="1">
      <alignment horizontal="center" vertical="top"/>
    </xf>
    <xf numFmtId="0" fontId="2" fillId="0" borderId="2" xfId="22" applyFont="1" applyBorder="1" applyAlignment="1">
      <alignment horizontal="center"/>
    </xf>
    <xf numFmtId="0" fontId="7" fillId="0" borderId="0" xfId="22" applyAlignment="1">
      <alignment horizontal="center"/>
    </xf>
    <xf numFmtId="0" fontId="2" fillId="0" borderId="1" xfId="22" applyFont="1" applyBorder="1" applyAlignment="1">
      <alignment horizontal="center" vertical="top" wrapText="1"/>
    </xf>
    <xf numFmtId="0" fontId="2" fillId="0" borderId="3" xfId="22" applyFont="1" applyBorder="1" applyAlignment="1">
      <alignment horizontal="center" vertical="top" wrapText="1"/>
    </xf>
    <xf numFmtId="0" fontId="6" fillId="0" borderId="5" xfId="22" applyFont="1" applyBorder="1" applyAlignment="1">
      <alignment horizontal="center" vertical="top"/>
    </xf>
    <xf numFmtId="0" fontId="6" fillId="0" borderId="9" xfId="22" applyFont="1" applyBorder="1" applyAlignment="1">
      <alignment horizontal="center" vertical="top"/>
    </xf>
    <xf numFmtId="0" fontId="6" fillId="0" borderId="17" xfId="22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4" fillId="0" borderId="0" xfId="22" applyFont="1" applyAlignment="1">
      <alignment horizontal="center"/>
    </xf>
    <xf numFmtId="0" fontId="2" fillId="0" borderId="5" xfId="22" applyFont="1" applyBorder="1" applyAlignment="1">
      <alignment horizontal="center" vertical="top" wrapText="1"/>
    </xf>
    <xf numFmtId="0" fontId="2" fillId="0" borderId="9" xfId="22" applyFont="1" applyBorder="1" applyAlignment="1">
      <alignment horizontal="center" vertical="top" wrapText="1"/>
    </xf>
    <xf numFmtId="0" fontId="2" fillId="0" borderId="6" xfId="22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17" fillId="0" borderId="7" xfId="0" applyFont="1" applyBorder="1" applyAlignment="1">
      <alignment horizontal="left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2" fillId="3" borderId="2" xfId="8" quotePrefix="1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/>
    </xf>
    <xf numFmtId="0" fontId="17" fillId="0" borderId="0" xfId="8" applyFont="1" applyAlignment="1">
      <alignment horizontal="right"/>
    </xf>
    <xf numFmtId="0" fontId="2" fillId="3" borderId="2" xfId="8" applyFont="1" applyFill="1" applyBorder="1" applyAlignment="1">
      <alignment horizontal="center" vertical="center" wrapText="1"/>
    </xf>
    <xf numFmtId="0" fontId="2" fillId="0" borderId="2" xfId="8" applyFont="1" applyBorder="1" applyAlignment="1">
      <alignment horizontal="left"/>
    </xf>
    <xf numFmtId="0" fontId="55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73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left"/>
    </xf>
    <xf numFmtId="0" fontId="74" fillId="0" borderId="2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79" fillId="0" borderId="1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top" wrapText="1"/>
    </xf>
    <xf numFmtId="0" fontId="54" fillId="0" borderId="2" xfId="25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91" fillId="0" borderId="2" xfId="3" applyFont="1" applyFill="1" applyBorder="1" applyAlignment="1">
      <alignment horizontal="center"/>
    </xf>
    <xf numFmtId="0" fontId="80" fillId="0" borderId="0" xfId="3" applyFont="1" applyFill="1" applyAlignment="1">
      <alignment horizontal="right"/>
    </xf>
    <xf numFmtId="0" fontId="2" fillId="0" borderId="0" xfId="3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top" wrapText="1"/>
    </xf>
    <xf numFmtId="0" fontId="2" fillId="0" borderId="5" xfId="3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0" borderId="6" xfId="3" applyFont="1" applyFill="1" applyBorder="1" applyAlignment="1">
      <alignment horizontal="center" vertical="top" wrapText="1"/>
    </xf>
    <xf numFmtId="0" fontId="2" fillId="0" borderId="12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wrapText="1"/>
    </xf>
    <xf numFmtId="0" fontId="4" fillId="0" borderId="7" xfId="3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3" fillId="0" borderId="0" xfId="3" applyFont="1" applyFill="1" applyAlignment="1">
      <alignment horizontal="right"/>
    </xf>
    <xf numFmtId="0" fontId="6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16" fillId="0" borderId="0" xfId="3" applyFont="1" applyFill="1" applyAlignment="1">
      <alignment horizontal="center" wrapText="1"/>
    </xf>
    <xf numFmtId="0" fontId="2" fillId="0" borderId="2" xfId="3" applyFont="1" applyFill="1" applyBorder="1" applyAlignment="1">
      <alignment horizontal="center"/>
    </xf>
    <xf numFmtId="0" fontId="6" fillId="0" borderId="0" xfId="3" applyFont="1" applyFill="1" applyAlignment="1">
      <alignment horizontal="left"/>
    </xf>
    <xf numFmtId="0" fontId="2" fillId="0" borderId="2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right"/>
    </xf>
    <xf numFmtId="0" fontId="2" fillId="0" borderId="1" xfId="3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2" fillId="0" borderId="2" xfId="0" applyFont="1" applyFill="1" applyBorder="1" applyAlignment="1">
      <alignment horizontal="center" vertical="center"/>
    </xf>
    <xf numFmtId="0" fontId="78" fillId="0" borderId="2" xfId="8" applyFont="1" applyBorder="1" applyAlignment="1">
      <alignment horizontal="center"/>
    </xf>
    <xf numFmtId="0" fontId="22" fillId="0" borderId="5" xfId="8" applyFont="1" applyBorder="1" applyAlignment="1">
      <alignment horizontal="center" vertical="top" wrapText="1"/>
    </xf>
    <xf numFmtId="0" fontId="22" fillId="0" borderId="9" xfId="8" applyFont="1" applyBorder="1" applyAlignment="1">
      <alignment horizontal="center" vertical="top" wrapText="1"/>
    </xf>
    <xf numFmtId="0" fontId="22" fillId="0" borderId="14" xfId="8" applyFont="1" applyBorder="1" applyAlignment="1">
      <alignment horizontal="center" vertical="top" wrapText="1"/>
    </xf>
    <xf numFmtId="0" fontId="22" fillId="0" borderId="2" xfId="8" applyFont="1" applyBorder="1" applyAlignment="1">
      <alignment horizontal="center" vertical="top" wrapText="1"/>
    </xf>
    <xf numFmtId="0" fontId="22" fillId="0" borderId="6" xfId="8" applyFont="1" applyBorder="1" applyAlignment="1">
      <alignment horizontal="center" vertical="top" wrapText="1"/>
    </xf>
    <xf numFmtId="0" fontId="43" fillId="0" borderId="0" xfId="8" applyFont="1" applyAlignment="1">
      <alignment horizontal="center"/>
    </xf>
    <xf numFmtId="0" fontId="22" fillId="0" borderId="1" xfId="8" applyFont="1" applyBorder="1" applyAlignment="1">
      <alignment horizontal="center" vertical="top" wrapText="1"/>
    </xf>
    <xf numFmtId="0" fontId="22" fillId="0" borderId="3" xfId="8" applyFont="1" applyBorder="1" applyAlignment="1">
      <alignment horizontal="center" vertical="top" wrapText="1"/>
    </xf>
    <xf numFmtId="1" fontId="63" fillId="0" borderId="2" xfId="8" applyNumberFormat="1" applyFont="1" applyBorder="1" applyAlignment="1">
      <alignment horizontal="center" vertical="center" wrapText="1"/>
    </xf>
    <xf numFmtId="0" fontId="29" fillId="0" borderId="0" xfId="8" applyFont="1" applyAlignment="1">
      <alignment horizontal="center"/>
    </xf>
    <xf numFmtId="0" fontId="18" fillId="0" borderId="2" xfId="8" applyFont="1" applyBorder="1" applyAlignment="1">
      <alignment horizontal="center" vertical="top" wrapText="1"/>
    </xf>
    <xf numFmtId="0" fontId="70" fillId="0" borderId="2" xfId="8" applyFont="1" applyBorder="1" applyAlignment="1">
      <alignment horizontal="center"/>
    </xf>
    <xf numFmtId="0" fontId="97" fillId="0" borderId="2" xfId="8" applyFont="1" applyBorder="1" applyAlignment="1">
      <alignment horizontal="center" vertical="top" wrapText="1"/>
    </xf>
    <xf numFmtId="0" fontId="91" fillId="0" borderId="2" xfId="0" applyFont="1" applyBorder="1" applyAlignment="1">
      <alignment horizontal="center" vertical="top" wrapText="1"/>
    </xf>
    <xf numFmtId="0" fontId="59" fillId="0" borderId="2" xfId="8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top" wrapText="1"/>
    </xf>
    <xf numFmtId="0" fontId="20" fillId="0" borderId="3" xfId="8" applyFont="1" applyBorder="1" applyAlignment="1">
      <alignment horizontal="center" vertical="top" wrapText="1"/>
    </xf>
    <xf numFmtId="0" fontId="20" fillId="0" borderId="5" xfId="8" applyFont="1" applyBorder="1" applyAlignment="1">
      <alignment horizontal="center" vertical="top" wrapText="1"/>
    </xf>
    <xf numFmtId="0" fontId="20" fillId="0" borderId="9" xfId="8" applyFont="1" applyBorder="1" applyAlignment="1">
      <alignment horizontal="center" vertical="top" wrapText="1"/>
    </xf>
    <xf numFmtId="0" fontId="20" fillId="0" borderId="6" xfId="8" applyFont="1" applyBorder="1" applyAlignment="1">
      <alignment horizontal="center" vertical="top" wrapText="1"/>
    </xf>
    <xf numFmtId="0" fontId="18" fillId="0" borderId="5" xfId="8" applyFont="1" applyBorder="1" applyAlignment="1">
      <alignment horizontal="center" vertical="top" wrapText="1"/>
    </xf>
    <xf numFmtId="0" fontId="18" fillId="0" borderId="9" xfId="8" applyFont="1" applyBorder="1" applyAlignment="1">
      <alignment horizontal="center" vertical="top" wrapText="1"/>
    </xf>
    <xf numFmtId="0" fontId="20" fillId="0" borderId="2" xfId="8" applyFont="1" applyBorder="1" applyAlignment="1">
      <alignment horizontal="center" wrapText="1"/>
    </xf>
    <xf numFmtId="0" fontId="20" fillId="0" borderId="2" xfId="8" applyFont="1" applyBorder="1" applyAlignment="1">
      <alignment horizontal="center"/>
    </xf>
    <xf numFmtId="0" fontId="23" fillId="0" borderId="0" xfId="8" applyFont="1" applyAlignment="1">
      <alignment horizontal="center"/>
    </xf>
    <xf numFmtId="0" fontId="20" fillId="0" borderId="2" xfId="8" applyFont="1" applyBorder="1" applyAlignment="1">
      <alignment horizontal="center" vertical="top"/>
    </xf>
    <xf numFmtId="0" fontId="2" fillId="0" borderId="0" xfId="23" applyFont="1" applyAlignment="1">
      <alignment horizontal="left"/>
    </xf>
    <xf numFmtId="0" fontId="8" fillId="0" borderId="12" xfId="23" applyFont="1" applyBorder="1" applyAlignment="1">
      <alignment horizontal="left" vertical="top" wrapText="1"/>
    </xf>
    <xf numFmtId="0" fontId="8" fillId="0" borderId="13" xfId="23" applyFont="1" applyBorder="1" applyAlignment="1">
      <alignment horizontal="left" vertical="top" wrapText="1"/>
    </xf>
    <xf numFmtId="0" fontId="8" fillId="0" borderId="14" xfId="23" applyFont="1" applyBorder="1" applyAlignment="1">
      <alignment horizontal="left" vertical="top" wrapText="1"/>
    </xf>
    <xf numFmtId="2" fontId="65" fillId="0" borderId="2" xfId="23" applyNumberFormat="1" applyFont="1" applyBorder="1" applyAlignment="1">
      <alignment horizontal="center" vertical="center"/>
    </xf>
    <xf numFmtId="0" fontId="2" fillId="0" borderId="2" xfId="23" applyFont="1" applyBorder="1" applyAlignment="1">
      <alignment horizontal="center"/>
    </xf>
    <xf numFmtId="0" fontId="8" fillId="0" borderId="2" xfId="23" applyFont="1" applyBorder="1" applyAlignment="1">
      <alignment horizontal="center" vertical="top" wrapText="1"/>
    </xf>
    <xf numFmtId="0" fontId="7" fillId="0" borderId="0" xfId="23" applyAlignment="1">
      <alignment horizontal="left"/>
    </xf>
    <xf numFmtId="0" fontId="6" fillId="0" borderId="0" xfId="23" applyFont="1" applyAlignment="1">
      <alignment horizontal="center" vertical="top" wrapText="1"/>
    </xf>
    <xf numFmtId="0" fontId="6" fillId="0" borderId="0" xfId="23" applyFont="1" applyAlignment="1">
      <alignment horizontal="right" vertical="top" wrapText="1"/>
    </xf>
    <xf numFmtId="0" fontId="3" fillId="0" borderId="0" xfId="23" applyFont="1" applyAlignment="1">
      <alignment horizontal="right"/>
    </xf>
    <xf numFmtId="0" fontId="4" fillId="0" borderId="0" xfId="23" applyFont="1" applyAlignment="1">
      <alignment horizontal="center"/>
    </xf>
    <xf numFmtId="0" fontId="5" fillId="0" borderId="0" xfId="23" applyFont="1" applyAlignment="1">
      <alignment horizontal="center"/>
    </xf>
    <xf numFmtId="0" fontId="17" fillId="0" borderId="2" xfId="23" applyFont="1" applyBorder="1" applyAlignment="1">
      <alignment horizontal="center" vertical="top" wrapText="1"/>
    </xf>
    <xf numFmtId="0" fontId="17" fillId="0" borderId="7" xfId="23" applyFont="1" applyBorder="1" applyAlignment="1">
      <alignment horizontal="center"/>
    </xf>
    <xf numFmtId="0" fontId="17" fillId="0" borderId="1" xfId="23" applyFont="1" applyBorder="1" applyAlignment="1">
      <alignment horizontal="center" vertical="top" wrapText="1"/>
    </xf>
    <xf numFmtId="0" fontId="17" fillId="0" borderId="3" xfId="23" applyFont="1" applyBorder="1" applyAlignment="1">
      <alignment horizontal="center" vertical="top" wrapText="1"/>
    </xf>
    <xf numFmtId="0" fontId="17" fillId="0" borderId="2" xfId="23" applyFont="1" applyBorder="1" applyAlignment="1">
      <alignment horizontal="center" vertical="top"/>
    </xf>
    <xf numFmtId="0" fontId="2" fillId="0" borderId="0" xfId="22" applyFont="1" applyAlignment="1">
      <alignment horizontal="left"/>
    </xf>
    <xf numFmtId="0" fontId="2" fillId="0" borderId="0" xfId="22" applyFont="1" applyAlignment="1">
      <alignment horizontal="center"/>
    </xf>
    <xf numFmtId="0" fontId="12" fillId="0" borderId="0" xfId="22" applyFont="1" applyAlignment="1">
      <alignment horizontal="center"/>
    </xf>
    <xf numFmtId="0" fontId="5" fillId="0" borderId="0" xfId="22" applyFont="1" applyAlignment="1">
      <alignment horizontal="center" wrapText="1"/>
    </xf>
    <xf numFmtId="0" fontId="2" fillId="0" borderId="2" xfId="22" applyFont="1" applyBorder="1" applyAlignment="1">
      <alignment horizontal="center" vertical="center"/>
    </xf>
    <xf numFmtId="0" fontId="2" fillId="0" borderId="0" xfId="23" applyFont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2" fillId="0" borderId="26" xfId="0" applyFont="1" applyBorder="1" applyAlignment="1">
      <alignment vertical="center" wrapText="1"/>
    </xf>
    <xf numFmtId="0" fontId="122" fillId="0" borderId="27" xfId="0" applyFont="1" applyBorder="1" applyAlignment="1">
      <alignment vertical="center" wrapText="1"/>
    </xf>
    <xf numFmtId="0" fontId="122" fillId="0" borderId="20" xfId="0" applyFont="1" applyBorder="1" applyAlignment="1">
      <alignment vertical="center" wrapText="1"/>
    </xf>
    <xf numFmtId="0" fontId="125" fillId="0" borderId="28" xfId="0" applyFont="1" applyBorder="1" applyAlignment="1">
      <alignment horizontal="center" vertical="center" wrapText="1"/>
    </xf>
    <xf numFmtId="0" fontId="125" fillId="0" borderId="29" xfId="0" applyFont="1" applyBorder="1" applyAlignment="1">
      <alignment horizontal="center" vertical="center" wrapText="1"/>
    </xf>
    <xf numFmtId="0" fontId="125" fillId="0" borderId="22" xfId="0" applyFont="1" applyBorder="1" applyAlignment="1">
      <alignment horizontal="center" vertical="center" wrapText="1"/>
    </xf>
    <xf numFmtId="0" fontId="125" fillId="0" borderId="23" xfId="0" applyFont="1" applyBorder="1" applyAlignment="1">
      <alignment horizontal="center" vertical="center" wrapText="1"/>
    </xf>
    <xf numFmtId="0" fontId="123" fillId="0" borderId="30" xfId="0" applyFont="1" applyBorder="1" applyAlignment="1">
      <alignment vertical="center" wrapText="1"/>
    </xf>
    <xf numFmtId="0" fontId="123" fillId="0" borderId="25" xfId="0" applyFont="1" applyBorder="1" applyAlignment="1">
      <alignment vertical="center" wrapText="1"/>
    </xf>
    <xf numFmtId="0" fontId="123" fillId="0" borderId="2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23" fillId="0" borderId="29" xfId="0" applyFont="1" applyBorder="1" applyAlignment="1">
      <alignment vertical="center" wrapText="1"/>
    </xf>
    <xf numFmtId="0" fontId="123" fillId="0" borderId="24" xfId="0" applyFont="1" applyBorder="1" applyAlignment="1">
      <alignment vertical="center" wrapText="1"/>
    </xf>
    <xf numFmtId="0" fontId="123" fillId="0" borderId="23" xfId="0" applyFont="1" applyBorder="1" applyAlignment="1">
      <alignment vertical="center" wrapText="1"/>
    </xf>
    <xf numFmtId="0" fontId="117" fillId="0" borderId="30" xfId="0" applyFont="1" applyBorder="1" applyAlignment="1">
      <alignment horizontal="left" vertical="center" wrapText="1"/>
    </xf>
    <xf numFmtId="0" fontId="117" fillId="0" borderId="21" xfId="0" applyFont="1" applyBorder="1" applyAlignment="1">
      <alignment horizontal="left" vertical="center" wrapText="1"/>
    </xf>
    <xf numFmtId="0" fontId="117" fillId="0" borderId="30" xfId="0" applyFont="1" applyBorder="1" applyAlignment="1">
      <alignment horizontal="center" vertical="center" wrapText="1"/>
    </xf>
    <xf numFmtId="0" fontId="117" fillId="0" borderId="2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116" fillId="0" borderId="30" xfId="0" applyFont="1" applyBorder="1" applyAlignment="1">
      <alignment vertical="center" wrapText="1"/>
    </xf>
    <xf numFmtId="0" fontId="116" fillId="0" borderId="25" xfId="0" applyFont="1" applyBorder="1" applyAlignment="1">
      <alignment vertical="center" wrapText="1"/>
    </xf>
    <xf numFmtId="0" fontId="116" fillId="0" borderId="21" xfId="0" applyFont="1" applyBorder="1" applyAlignment="1">
      <alignment vertical="center" wrapText="1"/>
    </xf>
    <xf numFmtId="0" fontId="117" fillId="0" borderId="26" xfId="0" applyFont="1" applyBorder="1" applyAlignment="1">
      <alignment horizontal="center" vertical="center" wrapText="1"/>
    </xf>
    <xf numFmtId="0" fontId="117" fillId="0" borderId="27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58" fillId="0" borderId="2" xfId="22" applyFont="1" applyBorder="1" applyAlignment="1">
      <alignment horizontal="center" vertical="center"/>
    </xf>
    <xf numFmtId="0" fontId="58" fillId="0" borderId="2" xfId="22" applyFont="1" applyBorder="1" applyAlignment="1">
      <alignment horizontal="right" vertical="center"/>
    </xf>
    <xf numFmtId="2" fontId="58" fillId="0" borderId="1" xfId="22" applyNumberFormat="1" applyFont="1" applyBorder="1" applyAlignment="1">
      <alignment horizontal="right" vertical="center"/>
    </xf>
    <xf numFmtId="0" fontId="58" fillId="0" borderId="10" xfId="22" applyFont="1" applyBorder="1" applyAlignment="1">
      <alignment horizontal="right" vertical="center"/>
    </xf>
    <xf numFmtId="0" fontId="58" fillId="0" borderId="3" xfId="22" applyFont="1" applyBorder="1" applyAlignment="1">
      <alignment horizontal="right" vertical="center"/>
    </xf>
    <xf numFmtId="2" fontId="2" fillId="0" borderId="2" xfId="22" applyNumberFormat="1" applyFont="1" applyBorder="1" applyAlignment="1">
      <alignment horizontal="center" vertical="center"/>
    </xf>
    <xf numFmtId="0" fontId="61" fillId="0" borderId="0" xfId="22" applyFont="1" applyAlignment="1">
      <alignment horizontal="center"/>
    </xf>
    <xf numFmtId="2" fontId="58" fillId="0" borderId="2" xfId="22" applyNumberFormat="1" applyFont="1" applyBorder="1" applyAlignment="1">
      <alignment horizontal="right" vertical="center"/>
    </xf>
    <xf numFmtId="2" fontId="7" fillId="0" borderId="2" xfId="22" applyNumberFormat="1" applyFont="1" applyBorder="1" applyAlignment="1">
      <alignment horizontal="right" vertical="center"/>
    </xf>
    <xf numFmtId="2" fontId="2" fillId="0" borderId="1" xfId="22" applyNumberFormat="1" applyFont="1" applyBorder="1" applyAlignment="1">
      <alignment horizontal="center" vertical="center"/>
    </xf>
    <xf numFmtId="0" fontId="2" fillId="0" borderId="10" xfId="22" applyFont="1" applyBorder="1" applyAlignment="1">
      <alignment horizontal="center" vertical="center"/>
    </xf>
    <xf numFmtId="0" fontId="2" fillId="0" borderId="3" xfId="22" applyFont="1" applyBorder="1" applyAlignment="1">
      <alignment horizontal="center" vertical="center"/>
    </xf>
    <xf numFmtId="0" fontId="2" fillId="0" borderId="2" xfId="3" applyFont="1" applyBorder="1" applyAlignment="1">
      <alignment horizontal="left"/>
    </xf>
    <xf numFmtId="0" fontId="7" fillId="0" borderId="1" xfId="3" applyBorder="1" applyAlignment="1">
      <alignment horizontal="right" vertical="center"/>
    </xf>
    <xf numFmtId="0" fontId="7" fillId="0" borderId="3" xfId="3" applyBorder="1" applyAlignment="1">
      <alignment horizontal="right" vertical="center"/>
    </xf>
    <xf numFmtId="0" fontId="5" fillId="0" borderId="0" xfId="3" applyFont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</cellXfs>
  <cellStyles count="39">
    <cellStyle name="Hyperlink" xfId="1" builtinId="8"/>
    <cellStyle name="Hyperlink 2" xfId="2" xr:uid="{00000000-0005-0000-0000-000001000000}"/>
    <cellStyle name="Normal" xfId="0" builtinId="0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4 2" xfId="7" xr:uid="{00000000-0005-0000-0000-000007000000}"/>
    <cellStyle name="Normal 2" xfId="8" xr:uid="{00000000-0005-0000-0000-000008000000}"/>
    <cellStyle name="Normal 2 2" xfId="9" xr:uid="{00000000-0005-0000-0000-000009000000}"/>
    <cellStyle name="Normal 2 2 2" xfId="10" xr:uid="{00000000-0005-0000-0000-00000A000000}"/>
    <cellStyle name="Normal 2 3" xfId="11" xr:uid="{00000000-0005-0000-0000-00000B000000}"/>
    <cellStyle name="Normal 2 3 2" xfId="12" xr:uid="{00000000-0005-0000-0000-00000C000000}"/>
    <cellStyle name="Normal 2 3 2 2" xfId="13" xr:uid="{00000000-0005-0000-0000-00000D000000}"/>
    <cellStyle name="Normal 2 3 2 3" xfId="14" xr:uid="{00000000-0005-0000-0000-00000E000000}"/>
    <cellStyle name="Normal 2 3 2 4" xfId="15" xr:uid="{00000000-0005-0000-0000-00000F000000}"/>
    <cellStyle name="Normal 2 3 3" xfId="16" xr:uid="{00000000-0005-0000-0000-000010000000}"/>
    <cellStyle name="Normal 2 4" xfId="17" xr:uid="{00000000-0005-0000-0000-000011000000}"/>
    <cellStyle name="Normal 2 4 2" xfId="18" xr:uid="{00000000-0005-0000-0000-000012000000}"/>
    <cellStyle name="Normal 2 5" xfId="19" xr:uid="{00000000-0005-0000-0000-000013000000}"/>
    <cellStyle name="Normal 2 5 2" xfId="20" xr:uid="{00000000-0005-0000-0000-000014000000}"/>
    <cellStyle name="Normal 2 6" xfId="21" xr:uid="{00000000-0005-0000-0000-000015000000}"/>
    <cellStyle name="Normal 3" xfId="22" xr:uid="{00000000-0005-0000-0000-000016000000}"/>
    <cellStyle name="Normal 3 2" xfId="23" xr:uid="{00000000-0005-0000-0000-000017000000}"/>
    <cellStyle name="Normal 4" xfId="24" xr:uid="{00000000-0005-0000-0000-000018000000}"/>
    <cellStyle name="Normal 5" xfId="25" xr:uid="{00000000-0005-0000-0000-000019000000}"/>
    <cellStyle name="Normal 5 2" xfId="26" xr:uid="{00000000-0005-0000-0000-00001A000000}"/>
    <cellStyle name="Normal 5 3" xfId="27" xr:uid="{00000000-0005-0000-0000-00001B000000}"/>
    <cellStyle name="Normal 6" xfId="28" xr:uid="{00000000-0005-0000-0000-00001C000000}"/>
    <cellStyle name="Normal 6 2" xfId="29" xr:uid="{00000000-0005-0000-0000-00001D000000}"/>
    <cellStyle name="Normal 6 3" xfId="30" xr:uid="{00000000-0005-0000-0000-00001E000000}"/>
    <cellStyle name="Normal 7" xfId="31" xr:uid="{00000000-0005-0000-0000-00001F000000}"/>
    <cellStyle name="Normal 7 2" xfId="32" xr:uid="{00000000-0005-0000-0000-000020000000}"/>
    <cellStyle name="Normal 7 3" xfId="33" xr:uid="{00000000-0005-0000-0000-000021000000}"/>
    <cellStyle name="Normal 8" xfId="34" xr:uid="{00000000-0005-0000-0000-000022000000}"/>
    <cellStyle name="Normal 8 2" xfId="35" xr:uid="{00000000-0005-0000-0000-000023000000}"/>
    <cellStyle name="Normal 8 3" xfId="36" xr:uid="{00000000-0005-0000-0000-000024000000}"/>
    <cellStyle name="Percent" xfId="38" builtinId="5"/>
    <cellStyle name="Percent 2" xfId="37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28</xdr:row>
      <xdr:rowOff>0</xdr:rowOff>
    </xdr:from>
    <xdr:ext cx="9288964" cy="665797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DE37FD4-CDD7-4F0F-8288-030A027B2848}"/>
            </a:ext>
          </a:extLst>
        </xdr:cNvPr>
        <xdr:cNvSpPr/>
      </xdr:nvSpPr>
      <xdr:spPr>
        <a:xfrm>
          <a:off x="82550" y="4533900"/>
          <a:ext cx="9266085" cy="66579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5900"/>
            </a:lnSpc>
          </a:pPr>
          <a:r>
            <a:rPr 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5900"/>
            </a:lnSpc>
          </a:pPr>
          <a:r>
            <a:rPr 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000"/>
            </a:lnSpc>
          </a:pPr>
          <a:endParaRPr 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4800"/>
            </a:lnSpc>
          </a:pPr>
          <a:r>
            <a:rPr lang="en-US" sz="4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8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_JHARKHAND___</a:t>
          </a:r>
        </a:p>
        <a:p>
          <a:pPr algn="ctr">
            <a:lnSpc>
              <a:spcPts val="4800"/>
            </a:lnSpc>
          </a:pPr>
          <a:r>
            <a:rPr lang="en-US" sz="48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16.03.2020</a:t>
          </a:r>
          <a:endParaRPr lang="en-US" sz="4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9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3</xdr:row>
      <xdr:rowOff>95064</xdr:rowOff>
    </xdr:from>
    <xdr:ext cx="7162800" cy="177119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223A072-052D-459B-86BE-A4968EC33E6E}"/>
            </a:ext>
          </a:extLst>
        </xdr:cNvPr>
        <xdr:cNvSpPr/>
      </xdr:nvSpPr>
      <xdr:spPr>
        <a:xfrm>
          <a:off x="781050" y="580839"/>
          <a:ext cx="7162800" cy="17711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shu%20ji%20budget\State-AWPB-format-2020-21%20(new%20corrected)%2011.3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Sheet3"/>
      <sheetName val="Contents"/>
      <sheetName val="Sheet1"/>
      <sheetName val="AT-1-Gen_Info "/>
      <sheetName val="AT-2-S1 BUDGET"/>
      <sheetName val="AT_2A_fundflow"/>
      <sheetName val="AT-2B_DBT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"/>
      <sheetName val="AT27B_Req_FG_CA_N CLP"/>
      <sheetName val="AT27C_Req_FG_Drought -Pry "/>
      <sheetName val="AT27D_Req_FG_Drought -UPry "/>
      <sheetName val="AT_28_RqmtKitchen"/>
      <sheetName val="AT-28A_RqmtPlinthArea"/>
      <sheetName val="AT-28B_Kitchen repair"/>
      <sheetName val="AT29_Replacement KD "/>
      <sheetName val="AT29_A_Replacement KD"/>
      <sheetName val="AT-30_Coook-cum-Helper"/>
      <sheetName val="AT_31_Budget_provision "/>
      <sheetName val="AT32_Drought Pry Util"/>
      <sheetName val="AT-32A Drought UPry Util"/>
      <sheetName val="B.Pro."/>
      <sheetName val="Sheet2 (2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G12">
            <v>1304</v>
          </cell>
        </row>
        <row r="13">
          <cell r="G13">
            <v>549</v>
          </cell>
        </row>
        <row r="14">
          <cell r="G14">
            <v>290</v>
          </cell>
        </row>
        <row r="20">
          <cell r="G20">
            <v>1203</v>
          </cell>
        </row>
        <row r="21">
          <cell r="G21">
            <v>632</v>
          </cell>
        </row>
        <row r="22">
          <cell r="G22">
            <v>955</v>
          </cell>
        </row>
        <row r="24">
          <cell r="G24">
            <v>347</v>
          </cell>
        </row>
        <row r="25">
          <cell r="G25">
            <v>363</v>
          </cell>
        </row>
        <row r="26">
          <cell r="G26">
            <v>895</v>
          </cell>
        </row>
        <row r="27">
          <cell r="G27">
            <v>1888</v>
          </cell>
        </row>
        <row r="28">
          <cell r="G28">
            <v>1091</v>
          </cell>
        </row>
        <row r="29">
          <cell r="G29">
            <v>990</v>
          </cell>
        </row>
        <row r="30">
          <cell r="G30">
            <v>1478</v>
          </cell>
        </row>
        <row r="31">
          <cell r="G31">
            <v>600</v>
          </cell>
        </row>
        <row r="32">
          <cell r="G32">
            <v>758</v>
          </cell>
        </row>
        <row r="33">
          <cell r="G33">
            <v>609</v>
          </cell>
        </row>
        <row r="34">
          <cell r="G34">
            <v>922</v>
          </cell>
        </row>
        <row r="35">
          <cell r="G35">
            <v>1296</v>
          </cell>
        </row>
      </sheetData>
      <sheetData sheetId="16">
        <row r="12">
          <cell r="C12">
            <v>845</v>
          </cell>
          <cell r="G12">
            <v>845</v>
          </cell>
        </row>
        <row r="13">
          <cell r="C13">
            <v>319</v>
          </cell>
          <cell r="G13">
            <v>319</v>
          </cell>
        </row>
        <row r="14">
          <cell r="C14">
            <v>201</v>
          </cell>
          <cell r="G14">
            <v>201</v>
          </cell>
        </row>
        <row r="20">
          <cell r="C20">
            <v>1296</v>
          </cell>
          <cell r="G20">
            <v>1296</v>
          </cell>
        </row>
        <row r="21">
          <cell r="C21">
            <v>405</v>
          </cell>
          <cell r="G21">
            <v>405</v>
          </cell>
        </row>
        <row r="22">
          <cell r="C22">
            <v>440</v>
          </cell>
          <cell r="G22">
            <v>440</v>
          </cell>
        </row>
        <row r="24">
          <cell r="C24">
            <v>240</v>
          </cell>
          <cell r="G24">
            <v>240</v>
          </cell>
        </row>
        <row r="25">
          <cell r="C25">
            <v>296</v>
          </cell>
          <cell r="G25">
            <v>296</v>
          </cell>
        </row>
        <row r="26">
          <cell r="C26">
            <v>644</v>
          </cell>
          <cell r="G26">
            <v>644</v>
          </cell>
        </row>
        <row r="27">
          <cell r="C27">
            <v>1248</v>
          </cell>
          <cell r="G27">
            <v>1248</v>
          </cell>
        </row>
        <row r="28">
          <cell r="C28">
            <v>603</v>
          </cell>
          <cell r="G28">
            <v>603</v>
          </cell>
        </row>
        <row r="29">
          <cell r="C29">
            <v>532</v>
          </cell>
          <cell r="G29">
            <v>532</v>
          </cell>
        </row>
        <row r="30">
          <cell r="C30">
            <v>810</v>
          </cell>
          <cell r="G30">
            <v>810</v>
          </cell>
        </row>
        <row r="31">
          <cell r="C31">
            <v>415</v>
          </cell>
          <cell r="G31">
            <v>415</v>
          </cell>
        </row>
        <row r="32">
          <cell r="C32">
            <v>528</v>
          </cell>
          <cell r="G32">
            <v>528</v>
          </cell>
        </row>
        <row r="33">
          <cell r="C33">
            <v>383</v>
          </cell>
          <cell r="G33">
            <v>383</v>
          </cell>
        </row>
        <row r="34">
          <cell r="C34">
            <v>618</v>
          </cell>
          <cell r="G34">
            <v>618</v>
          </cell>
        </row>
        <row r="35">
          <cell r="C35">
            <v>649</v>
          </cell>
          <cell r="G35">
            <v>649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ontentPlaceHolder1$Grd_tot_detail$ctl12$hypSeptember','')" TargetMode="External"/><Relationship Id="rId21" Type="http://schemas.openxmlformats.org/officeDocument/2006/relationships/hyperlink" Target="javascript:__doPostBack('ctl00$ContentPlaceHolder1$Grd_tot_detail$ctl17$lbtnfreezsch','')" TargetMode="External"/><Relationship Id="rId42" Type="http://schemas.openxmlformats.org/officeDocument/2006/relationships/hyperlink" Target="javascript:__doPostBack('ctl00$ContentPlaceHolder1$Grd_tot_detail$ctl24$hypapr','')" TargetMode="External"/><Relationship Id="rId63" Type="http://schemas.openxmlformats.org/officeDocument/2006/relationships/hyperlink" Target="javascript:__doPostBack('ctl00$ContentPlaceHolder1$Grd_tot_detail$ctl23$hypmay','')" TargetMode="External"/><Relationship Id="rId84" Type="http://schemas.openxmlformats.org/officeDocument/2006/relationships/hyperlink" Target="javascript:__doPostBack('ctl00$ContentPlaceHolder1$Grd_tot_detail$ctl19$hypjune','')" TargetMode="External"/><Relationship Id="rId138" Type="http://schemas.openxmlformats.org/officeDocument/2006/relationships/hyperlink" Target="javascript:__doPostBack('ctl00$ContentPlaceHolder1$Grd_tot_detail$ctl15$hypOcteber','')" TargetMode="External"/><Relationship Id="rId159" Type="http://schemas.openxmlformats.org/officeDocument/2006/relationships/hyperlink" Target="javascript:__doPostBack('ctl00$ContentPlaceHolder1$Grd_tot_detail$ctl09$hypNovember','')" TargetMode="External"/><Relationship Id="rId170" Type="http://schemas.openxmlformats.org/officeDocument/2006/relationships/hyperlink" Target="javascript:__doPostBack('ctl00$ContentPlaceHolder1$Grd_tot_detail$ctl05$hypDecember','')" TargetMode="External"/><Relationship Id="rId191" Type="http://schemas.openxmlformats.org/officeDocument/2006/relationships/hyperlink" Target="javascript:__doPostBack('ctl00$ContentPlaceHolder1$Grd_tot_detail$ctl13$lbtnfreezsch','')" TargetMode="External"/><Relationship Id="rId205" Type="http://schemas.openxmlformats.org/officeDocument/2006/relationships/hyperlink" Target="javascript:__doPostBack('ctl00$ContentPlaceHolder1$Grd_tot_detail$ctl22$hypjuly','')" TargetMode="External"/><Relationship Id="rId226" Type="http://schemas.openxmlformats.org/officeDocument/2006/relationships/hyperlink" Target="javascript:__doPostBack('ctl00$ContentPlaceHolder1$Grd_tot_detail$ctl10$hypAugust','')" TargetMode="External"/><Relationship Id="rId107" Type="http://schemas.openxmlformats.org/officeDocument/2006/relationships/hyperlink" Target="javascript:__doPostBack('ctl00$ContentPlaceHolder1$Grd_tot_detail$ctl08$hypSeptember','')" TargetMode="External"/><Relationship Id="rId11" Type="http://schemas.openxmlformats.org/officeDocument/2006/relationships/hyperlink" Target="javascript:__doPostBack('ctl00$ContentPlaceHolder1$Grd_tot_detail$ctl14$lbtnfreezsch','')" TargetMode="External"/><Relationship Id="rId32" Type="http://schemas.openxmlformats.org/officeDocument/2006/relationships/hyperlink" Target="javascript:__doPostBack('ctl00$ContentPlaceHolder1$Grd_tot_detail$ctl11$hypapr','')" TargetMode="External"/><Relationship Id="rId53" Type="http://schemas.openxmlformats.org/officeDocument/2006/relationships/hyperlink" Target="javascript:__doPostBack('ctl00$ContentPlaceHolder1$Grd_tot_detail$ctl07$hypmay','')" TargetMode="External"/><Relationship Id="rId74" Type="http://schemas.openxmlformats.org/officeDocument/2006/relationships/hyperlink" Target="javascript:__doPostBack('ctl00$ContentPlaceHolder1$Grd_tot_detail$ctl25$hypjune','')" TargetMode="External"/><Relationship Id="rId128" Type="http://schemas.openxmlformats.org/officeDocument/2006/relationships/hyperlink" Target="javascript:__doPostBack('ctl00$ContentPlaceHolder1$Grd_tot_detail$ctl20$hypOcteber','')" TargetMode="External"/><Relationship Id="rId149" Type="http://schemas.openxmlformats.org/officeDocument/2006/relationships/hyperlink" Target="javascript:__doPostBack('ctl00$ContentPlaceHolder1$Grd_tot_detail$ctl03$hypNovember','')" TargetMode="External"/><Relationship Id="rId5" Type="http://schemas.openxmlformats.org/officeDocument/2006/relationships/hyperlink" Target="javascript:__doPostBack('ctl00$ContentPlaceHolder1$Grd_tot_detail$ctl21$hypjuly','')" TargetMode="External"/><Relationship Id="rId95" Type="http://schemas.openxmlformats.org/officeDocument/2006/relationships/hyperlink" Target="javascript:__doPostBack('ctl00$ContentPlaceHolder1$Grd_tot_detail$ctl16$hypjuly','')" TargetMode="External"/><Relationship Id="rId160" Type="http://schemas.openxmlformats.org/officeDocument/2006/relationships/hyperlink" Target="javascript:__doPostBack('ctl00$ContentPlaceHolder1$Grd_tot_detail$ctl09$hypDecember','')" TargetMode="External"/><Relationship Id="rId181" Type="http://schemas.openxmlformats.org/officeDocument/2006/relationships/hyperlink" Target="javascript:__doPostBack('ctl00$ContentPlaceHolder1$Grd_tot_detail$ctl06$lbtnfreezsch','')" TargetMode="External"/><Relationship Id="rId216" Type="http://schemas.openxmlformats.org/officeDocument/2006/relationships/hyperlink" Target="javascript:__doPostBack('ctl00$ContentPlaceHolder1$Grd_tot_detail$ctl18$hypAugust','')" TargetMode="External"/><Relationship Id="rId237" Type="http://schemas.openxmlformats.org/officeDocument/2006/relationships/hyperlink" Target="javascript:__doPostBack('ctl00$ContentPlaceHolder1$Grd_tot_detail$ctl04$hypSeptember','')" TargetMode="External"/><Relationship Id="rId22" Type="http://schemas.openxmlformats.org/officeDocument/2006/relationships/hyperlink" Target="javascript:__doPostBack('ctl00$ContentPlaceHolder1$Grd_tot_detail$ctl17$hypapr','')" TargetMode="External"/><Relationship Id="rId43" Type="http://schemas.openxmlformats.org/officeDocument/2006/relationships/hyperlink" Target="javascript:__doPostBack('ctl00$ContentPlaceHolder1$Grd_tot_detail$ctl24$hypmay','')" TargetMode="External"/><Relationship Id="rId64" Type="http://schemas.openxmlformats.org/officeDocument/2006/relationships/hyperlink" Target="javascript:__doPostBack('ctl00$ContentPlaceHolder1$Grd_tot_detail$ctl23$hypjune','')" TargetMode="External"/><Relationship Id="rId118" Type="http://schemas.openxmlformats.org/officeDocument/2006/relationships/hyperlink" Target="javascript:__doPostBack('ctl00$ContentPlaceHolder1$Grd_tot_detail$ctl12$hypOcteber','')" TargetMode="External"/><Relationship Id="rId139" Type="http://schemas.openxmlformats.org/officeDocument/2006/relationships/hyperlink" Target="javascript:__doPostBack('ctl00$ContentPlaceHolder1$Grd_tot_detail$ctl15$hypNovember','')" TargetMode="External"/><Relationship Id="rId80" Type="http://schemas.openxmlformats.org/officeDocument/2006/relationships/hyperlink" Target="javascript:__doPostBack('ctl00$ContentPlaceHolder1$Grd_tot_detail$ctl25$hypDecember','')" TargetMode="External"/><Relationship Id="rId85" Type="http://schemas.openxmlformats.org/officeDocument/2006/relationships/hyperlink" Target="javascript:__doPostBack('ctl00$ContentPlaceHolder1$Grd_tot_detail$ctl19$hypjuly','')" TargetMode="External"/><Relationship Id="rId150" Type="http://schemas.openxmlformats.org/officeDocument/2006/relationships/hyperlink" Target="javascript:__doPostBack('ctl00$ContentPlaceHolder1$Grd_tot_detail$ctl03$hypDecember','')" TargetMode="External"/><Relationship Id="rId155" Type="http://schemas.openxmlformats.org/officeDocument/2006/relationships/hyperlink" Target="javascript:__doPostBack('ctl00$ContentPlaceHolder1$Grd_tot_detail$ctl09$hypjuly','')" TargetMode="External"/><Relationship Id="rId171" Type="http://schemas.openxmlformats.org/officeDocument/2006/relationships/hyperlink" Target="javascript:__doPostBack('ctl00$ContentPlaceHolder1$Grd_tot_detail$ctl02$lbtnfreezsch','')" TargetMode="External"/><Relationship Id="rId176" Type="http://schemas.openxmlformats.org/officeDocument/2006/relationships/hyperlink" Target="javascript:__doPostBack('ctl00$ContentPlaceHolder1$Grd_tot_detail$ctl02$hypAugust','')" TargetMode="External"/><Relationship Id="rId192" Type="http://schemas.openxmlformats.org/officeDocument/2006/relationships/hyperlink" Target="javascript:__doPostBack('ctl00$ContentPlaceHolder1$Grd_tot_detail$ctl13$hypapr','')" TargetMode="External"/><Relationship Id="rId197" Type="http://schemas.openxmlformats.org/officeDocument/2006/relationships/hyperlink" Target="javascript:__doPostBack('ctl00$ContentPlaceHolder1$Grd_tot_detail$ctl13$hypSeptember','')" TargetMode="External"/><Relationship Id="rId206" Type="http://schemas.openxmlformats.org/officeDocument/2006/relationships/hyperlink" Target="javascript:__doPostBack('ctl00$ContentPlaceHolder1$Grd_tot_detail$ctl22$hypAugust','')" TargetMode="External"/><Relationship Id="rId227" Type="http://schemas.openxmlformats.org/officeDocument/2006/relationships/hyperlink" Target="javascript:__doPostBack('ctl00$ContentPlaceHolder1$Grd_tot_detail$ctl10$hypSeptember','')" TargetMode="External"/><Relationship Id="rId201" Type="http://schemas.openxmlformats.org/officeDocument/2006/relationships/hyperlink" Target="javascript:__doPostBack('ctl00$ContentPlaceHolder1$Grd_tot_detail$ctl22$lbtnfreezsch','')" TargetMode="External"/><Relationship Id="rId222" Type="http://schemas.openxmlformats.org/officeDocument/2006/relationships/hyperlink" Target="javascript:__doPostBack('ctl00$ContentPlaceHolder1$Grd_tot_detail$ctl10$hypapr','')" TargetMode="External"/><Relationship Id="rId12" Type="http://schemas.openxmlformats.org/officeDocument/2006/relationships/hyperlink" Target="javascript:__doPostBack('ctl00$ContentPlaceHolder1$Grd_tot_detail$ctl14$hypapr','')" TargetMode="External"/><Relationship Id="rId17" Type="http://schemas.openxmlformats.org/officeDocument/2006/relationships/hyperlink" Target="javascript:__doPostBack('ctl00$ContentPlaceHolder1$Grd_tot_detail$ctl14$hypSeptember','')" TargetMode="External"/><Relationship Id="rId33" Type="http://schemas.openxmlformats.org/officeDocument/2006/relationships/hyperlink" Target="javascript:__doPostBack('ctl00$ContentPlaceHolder1$Grd_tot_detail$ctl11$hypmay','')" TargetMode="External"/><Relationship Id="rId38" Type="http://schemas.openxmlformats.org/officeDocument/2006/relationships/hyperlink" Target="javascript:__doPostBack('ctl00$ContentPlaceHolder1$Grd_tot_detail$ctl11$hypOcteber','')" TargetMode="External"/><Relationship Id="rId59" Type="http://schemas.openxmlformats.org/officeDocument/2006/relationships/hyperlink" Target="javascript:__doPostBack('ctl00$ContentPlaceHolder1$Grd_tot_detail$ctl07$hypNovember','')" TargetMode="External"/><Relationship Id="rId103" Type="http://schemas.openxmlformats.org/officeDocument/2006/relationships/hyperlink" Target="javascript:__doPostBack('ctl00$ContentPlaceHolder1$Grd_tot_detail$ctl08$hypmay','')" TargetMode="External"/><Relationship Id="rId108" Type="http://schemas.openxmlformats.org/officeDocument/2006/relationships/hyperlink" Target="javascript:__doPostBack('ctl00$ContentPlaceHolder1$Grd_tot_detail$ctl08$hypOcteber','')" TargetMode="External"/><Relationship Id="rId124" Type="http://schemas.openxmlformats.org/officeDocument/2006/relationships/hyperlink" Target="javascript:__doPostBack('ctl00$ContentPlaceHolder1$Grd_tot_detail$ctl20$hypjune','')" TargetMode="External"/><Relationship Id="rId129" Type="http://schemas.openxmlformats.org/officeDocument/2006/relationships/hyperlink" Target="javascript:__doPostBack('ctl00$ContentPlaceHolder1$Grd_tot_detail$ctl20$hypNovember','')" TargetMode="External"/><Relationship Id="rId54" Type="http://schemas.openxmlformats.org/officeDocument/2006/relationships/hyperlink" Target="javascript:__doPostBack('ctl00$ContentPlaceHolder1$Grd_tot_detail$ctl07$hypjune','')" TargetMode="External"/><Relationship Id="rId70" Type="http://schemas.openxmlformats.org/officeDocument/2006/relationships/hyperlink" Target="javascript:__doPostBack('ctl00$ContentPlaceHolder1$Grd_tot_detail$ctl23$hypDecember','')" TargetMode="External"/><Relationship Id="rId75" Type="http://schemas.openxmlformats.org/officeDocument/2006/relationships/hyperlink" Target="javascript:__doPostBack('ctl00$ContentPlaceHolder1$Grd_tot_detail$ctl25$hypjuly','')" TargetMode="External"/><Relationship Id="rId91" Type="http://schemas.openxmlformats.org/officeDocument/2006/relationships/hyperlink" Target="javascript:__doPostBack('ctl00$ContentPlaceHolder1$Grd_tot_detail$ctl16$lbtnfreezsch','')" TargetMode="External"/><Relationship Id="rId96" Type="http://schemas.openxmlformats.org/officeDocument/2006/relationships/hyperlink" Target="javascript:__doPostBack('ctl00$ContentPlaceHolder1$Grd_tot_detail$ctl16$hypAugust','')" TargetMode="External"/><Relationship Id="rId140" Type="http://schemas.openxmlformats.org/officeDocument/2006/relationships/hyperlink" Target="javascript:__doPostBack('ctl00$ContentPlaceHolder1$Grd_tot_detail$ctl15$hypDecember','')" TargetMode="External"/><Relationship Id="rId145" Type="http://schemas.openxmlformats.org/officeDocument/2006/relationships/hyperlink" Target="javascript:__doPostBack('ctl00$ContentPlaceHolder1$Grd_tot_detail$ctl03$hypjuly','')" TargetMode="External"/><Relationship Id="rId161" Type="http://schemas.openxmlformats.org/officeDocument/2006/relationships/hyperlink" Target="javascript:__doPostBack('ctl00$ContentPlaceHolder1$Grd_tot_detail$ctl05$lbtnfreezsch','')" TargetMode="External"/><Relationship Id="rId166" Type="http://schemas.openxmlformats.org/officeDocument/2006/relationships/hyperlink" Target="javascript:__doPostBack('ctl00$ContentPlaceHolder1$Grd_tot_detail$ctl05$hypAugust','')" TargetMode="External"/><Relationship Id="rId182" Type="http://schemas.openxmlformats.org/officeDocument/2006/relationships/hyperlink" Target="javascript:__doPostBack('ctl00$ContentPlaceHolder1$Grd_tot_detail$ctl06$hypapr','')" TargetMode="External"/><Relationship Id="rId187" Type="http://schemas.openxmlformats.org/officeDocument/2006/relationships/hyperlink" Target="javascript:__doPostBack('ctl00$ContentPlaceHolder1$Grd_tot_detail$ctl06$hypSeptember','')" TargetMode="External"/><Relationship Id="rId217" Type="http://schemas.openxmlformats.org/officeDocument/2006/relationships/hyperlink" Target="javascript:__doPostBack('ctl00$ContentPlaceHolder1$Grd_tot_detail$ctl18$hypSeptember','')" TargetMode="External"/><Relationship Id="rId1" Type="http://schemas.openxmlformats.org/officeDocument/2006/relationships/hyperlink" Target="javascript:__doPostBack('ctl00$ContentPlaceHolder1$Grd_tot_detail$ctl21$lbtnfreezsch','')" TargetMode="External"/><Relationship Id="rId6" Type="http://schemas.openxmlformats.org/officeDocument/2006/relationships/hyperlink" Target="javascript:__doPostBack('ctl00$ContentPlaceHolder1$Grd_tot_detail$ctl21$hypAugust','')" TargetMode="External"/><Relationship Id="rId212" Type="http://schemas.openxmlformats.org/officeDocument/2006/relationships/hyperlink" Target="javascript:__doPostBack('ctl00$ContentPlaceHolder1$Grd_tot_detail$ctl18$hypapr','')" TargetMode="External"/><Relationship Id="rId233" Type="http://schemas.openxmlformats.org/officeDocument/2006/relationships/hyperlink" Target="javascript:__doPostBack('ctl00$ContentPlaceHolder1$Grd_tot_detail$ctl04$hypmay','')" TargetMode="External"/><Relationship Id="rId238" Type="http://schemas.openxmlformats.org/officeDocument/2006/relationships/hyperlink" Target="javascript:__doPostBack('ctl00$ContentPlaceHolder1$Grd_tot_detail$ctl04$hypOcteber','')" TargetMode="External"/><Relationship Id="rId23" Type="http://schemas.openxmlformats.org/officeDocument/2006/relationships/hyperlink" Target="javascript:__doPostBack('ctl00$ContentPlaceHolder1$Grd_tot_detail$ctl17$hypmay','')" TargetMode="External"/><Relationship Id="rId28" Type="http://schemas.openxmlformats.org/officeDocument/2006/relationships/hyperlink" Target="javascript:__doPostBack('ctl00$ContentPlaceHolder1$Grd_tot_detail$ctl17$hypOcteber','')" TargetMode="External"/><Relationship Id="rId49" Type="http://schemas.openxmlformats.org/officeDocument/2006/relationships/hyperlink" Target="javascript:__doPostBack('ctl00$ContentPlaceHolder1$Grd_tot_detail$ctl24$hypNovember','')" TargetMode="External"/><Relationship Id="rId114" Type="http://schemas.openxmlformats.org/officeDocument/2006/relationships/hyperlink" Target="javascript:__doPostBack('ctl00$ContentPlaceHolder1$Grd_tot_detail$ctl12$hypjune','')" TargetMode="External"/><Relationship Id="rId119" Type="http://schemas.openxmlformats.org/officeDocument/2006/relationships/hyperlink" Target="javascript:__doPostBack('ctl00$ContentPlaceHolder1$Grd_tot_detail$ctl12$hypNovember','')" TargetMode="External"/><Relationship Id="rId44" Type="http://schemas.openxmlformats.org/officeDocument/2006/relationships/hyperlink" Target="javascript:__doPostBack('ctl00$ContentPlaceHolder1$Grd_tot_detail$ctl24$hypjune','')" TargetMode="External"/><Relationship Id="rId60" Type="http://schemas.openxmlformats.org/officeDocument/2006/relationships/hyperlink" Target="javascript:__doPostBack('ctl00$ContentPlaceHolder1$Grd_tot_detail$ctl07$hypDecember','')" TargetMode="External"/><Relationship Id="rId65" Type="http://schemas.openxmlformats.org/officeDocument/2006/relationships/hyperlink" Target="javascript:__doPostBack('ctl00$ContentPlaceHolder1$Grd_tot_detail$ctl23$hypjuly','')" TargetMode="External"/><Relationship Id="rId81" Type="http://schemas.openxmlformats.org/officeDocument/2006/relationships/hyperlink" Target="javascript:__doPostBack('ctl00$ContentPlaceHolder1$Grd_tot_detail$ctl19$lbtnfreezsch','')" TargetMode="External"/><Relationship Id="rId86" Type="http://schemas.openxmlformats.org/officeDocument/2006/relationships/hyperlink" Target="javascript:__doPostBack('ctl00$ContentPlaceHolder1$Grd_tot_detail$ctl19$hypAugust','')" TargetMode="External"/><Relationship Id="rId130" Type="http://schemas.openxmlformats.org/officeDocument/2006/relationships/hyperlink" Target="javascript:__doPostBack('ctl00$ContentPlaceHolder1$Grd_tot_detail$ctl20$hypDecember','')" TargetMode="External"/><Relationship Id="rId135" Type="http://schemas.openxmlformats.org/officeDocument/2006/relationships/hyperlink" Target="javascript:__doPostBack('ctl00$ContentPlaceHolder1$Grd_tot_detail$ctl15$hypjuly','')" TargetMode="External"/><Relationship Id="rId151" Type="http://schemas.openxmlformats.org/officeDocument/2006/relationships/hyperlink" Target="javascript:__doPostBack('ctl00$ContentPlaceHolder1$Grd_tot_detail$ctl09$lbtnfreezsch','')" TargetMode="External"/><Relationship Id="rId156" Type="http://schemas.openxmlformats.org/officeDocument/2006/relationships/hyperlink" Target="javascript:__doPostBack('ctl00$ContentPlaceHolder1$Grd_tot_detail$ctl09$hypAugust','')" TargetMode="External"/><Relationship Id="rId177" Type="http://schemas.openxmlformats.org/officeDocument/2006/relationships/hyperlink" Target="javascript:__doPostBack('ctl00$ContentPlaceHolder1$Grd_tot_detail$ctl02$hypSeptember','')" TargetMode="External"/><Relationship Id="rId198" Type="http://schemas.openxmlformats.org/officeDocument/2006/relationships/hyperlink" Target="javascript:__doPostBack('ctl00$ContentPlaceHolder1$Grd_tot_detail$ctl13$hypOcteber','')" TargetMode="External"/><Relationship Id="rId172" Type="http://schemas.openxmlformats.org/officeDocument/2006/relationships/hyperlink" Target="javascript:__doPostBack('ctl00$ContentPlaceHolder1$Grd_tot_detail$ctl02$hypapr','')" TargetMode="External"/><Relationship Id="rId193" Type="http://schemas.openxmlformats.org/officeDocument/2006/relationships/hyperlink" Target="javascript:__doPostBack('ctl00$ContentPlaceHolder1$Grd_tot_detail$ctl13$hypmay','')" TargetMode="External"/><Relationship Id="rId202" Type="http://schemas.openxmlformats.org/officeDocument/2006/relationships/hyperlink" Target="javascript:__doPostBack('ctl00$ContentPlaceHolder1$Grd_tot_detail$ctl22$hypapr','')" TargetMode="External"/><Relationship Id="rId207" Type="http://schemas.openxmlformats.org/officeDocument/2006/relationships/hyperlink" Target="javascript:__doPostBack('ctl00$ContentPlaceHolder1$Grd_tot_detail$ctl22$hypSeptember','')" TargetMode="External"/><Relationship Id="rId223" Type="http://schemas.openxmlformats.org/officeDocument/2006/relationships/hyperlink" Target="javascript:__doPostBack('ctl00$ContentPlaceHolder1$Grd_tot_detail$ctl10$hypmay','')" TargetMode="External"/><Relationship Id="rId228" Type="http://schemas.openxmlformats.org/officeDocument/2006/relationships/hyperlink" Target="javascript:__doPostBack('ctl00$ContentPlaceHolder1$Grd_tot_detail$ctl10$hypOcteber','')" TargetMode="External"/><Relationship Id="rId13" Type="http://schemas.openxmlformats.org/officeDocument/2006/relationships/hyperlink" Target="javascript:__doPostBack('ctl00$ContentPlaceHolder1$Grd_tot_detail$ctl14$hypmay','')" TargetMode="External"/><Relationship Id="rId18" Type="http://schemas.openxmlformats.org/officeDocument/2006/relationships/hyperlink" Target="javascript:__doPostBack('ctl00$ContentPlaceHolder1$Grd_tot_detail$ctl14$hypOcteber','')" TargetMode="External"/><Relationship Id="rId39" Type="http://schemas.openxmlformats.org/officeDocument/2006/relationships/hyperlink" Target="javascript:__doPostBack('ctl00$ContentPlaceHolder1$Grd_tot_detail$ctl11$hypNovember','')" TargetMode="External"/><Relationship Id="rId109" Type="http://schemas.openxmlformats.org/officeDocument/2006/relationships/hyperlink" Target="javascript:__doPostBack('ctl00$ContentPlaceHolder1$Grd_tot_detail$ctl08$hypNovember','')" TargetMode="External"/><Relationship Id="rId34" Type="http://schemas.openxmlformats.org/officeDocument/2006/relationships/hyperlink" Target="javascript:__doPostBack('ctl00$ContentPlaceHolder1$Grd_tot_detail$ctl11$hypjune','')" TargetMode="External"/><Relationship Id="rId50" Type="http://schemas.openxmlformats.org/officeDocument/2006/relationships/hyperlink" Target="javascript:__doPostBack('ctl00$ContentPlaceHolder1$Grd_tot_detail$ctl24$hypDecember','')" TargetMode="External"/><Relationship Id="rId55" Type="http://schemas.openxmlformats.org/officeDocument/2006/relationships/hyperlink" Target="javascript:__doPostBack('ctl00$ContentPlaceHolder1$Grd_tot_detail$ctl07$hypjuly','')" TargetMode="External"/><Relationship Id="rId76" Type="http://schemas.openxmlformats.org/officeDocument/2006/relationships/hyperlink" Target="javascript:__doPostBack('ctl00$ContentPlaceHolder1$Grd_tot_detail$ctl25$hypAugust','')" TargetMode="External"/><Relationship Id="rId97" Type="http://schemas.openxmlformats.org/officeDocument/2006/relationships/hyperlink" Target="javascript:__doPostBack('ctl00$ContentPlaceHolder1$Grd_tot_detail$ctl16$hypSeptember','')" TargetMode="External"/><Relationship Id="rId104" Type="http://schemas.openxmlformats.org/officeDocument/2006/relationships/hyperlink" Target="javascript:__doPostBack('ctl00$ContentPlaceHolder1$Grd_tot_detail$ctl08$hypjune','')" TargetMode="External"/><Relationship Id="rId120" Type="http://schemas.openxmlformats.org/officeDocument/2006/relationships/hyperlink" Target="javascript:__doPostBack('ctl00$ContentPlaceHolder1$Grd_tot_detail$ctl12$hypDecember','')" TargetMode="External"/><Relationship Id="rId125" Type="http://schemas.openxmlformats.org/officeDocument/2006/relationships/hyperlink" Target="javascript:__doPostBack('ctl00$ContentPlaceHolder1$Grd_tot_detail$ctl20$hypjuly','')" TargetMode="External"/><Relationship Id="rId141" Type="http://schemas.openxmlformats.org/officeDocument/2006/relationships/hyperlink" Target="javascript:__doPostBack('ctl00$ContentPlaceHolder1$Grd_tot_detail$ctl03$lbtnfreezsch','')" TargetMode="External"/><Relationship Id="rId146" Type="http://schemas.openxmlformats.org/officeDocument/2006/relationships/hyperlink" Target="javascript:__doPostBack('ctl00$ContentPlaceHolder1$Grd_tot_detail$ctl03$hypAugust','')" TargetMode="External"/><Relationship Id="rId167" Type="http://schemas.openxmlformats.org/officeDocument/2006/relationships/hyperlink" Target="javascript:__doPostBack('ctl00$ContentPlaceHolder1$Grd_tot_detail$ctl05$hypSeptember','')" TargetMode="External"/><Relationship Id="rId188" Type="http://schemas.openxmlformats.org/officeDocument/2006/relationships/hyperlink" Target="javascript:__doPostBack('ctl00$ContentPlaceHolder1$Grd_tot_detail$ctl06$hypOcteber','')" TargetMode="External"/><Relationship Id="rId7" Type="http://schemas.openxmlformats.org/officeDocument/2006/relationships/hyperlink" Target="javascript:__doPostBack('ctl00$ContentPlaceHolder1$Grd_tot_detail$ctl21$hypSeptember','')" TargetMode="External"/><Relationship Id="rId71" Type="http://schemas.openxmlformats.org/officeDocument/2006/relationships/hyperlink" Target="javascript:__doPostBack('ctl00$ContentPlaceHolder1$Grd_tot_detail$ctl25$lbtnfreezsch','')" TargetMode="External"/><Relationship Id="rId92" Type="http://schemas.openxmlformats.org/officeDocument/2006/relationships/hyperlink" Target="javascript:__doPostBack('ctl00$ContentPlaceHolder1$Grd_tot_detail$ctl16$hypapr','')" TargetMode="External"/><Relationship Id="rId162" Type="http://schemas.openxmlformats.org/officeDocument/2006/relationships/hyperlink" Target="javascript:__doPostBack('ctl00$ContentPlaceHolder1$Grd_tot_detail$ctl05$hypapr','')" TargetMode="External"/><Relationship Id="rId183" Type="http://schemas.openxmlformats.org/officeDocument/2006/relationships/hyperlink" Target="javascript:__doPostBack('ctl00$ContentPlaceHolder1$Grd_tot_detail$ctl06$hypmay','')" TargetMode="External"/><Relationship Id="rId213" Type="http://schemas.openxmlformats.org/officeDocument/2006/relationships/hyperlink" Target="javascript:__doPostBack('ctl00$ContentPlaceHolder1$Grd_tot_detail$ctl18$hypmay','')" TargetMode="External"/><Relationship Id="rId218" Type="http://schemas.openxmlformats.org/officeDocument/2006/relationships/hyperlink" Target="javascript:__doPostBack('ctl00$ContentPlaceHolder1$Grd_tot_detail$ctl18$hypOcteber','')" TargetMode="External"/><Relationship Id="rId234" Type="http://schemas.openxmlformats.org/officeDocument/2006/relationships/hyperlink" Target="javascript:__doPostBack('ctl00$ContentPlaceHolder1$Grd_tot_detail$ctl04$hypjune','')" TargetMode="External"/><Relationship Id="rId239" Type="http://schemas.openxmlformats.org/officeDocument/2006/relationships/hyperlink" Target="javascript:__doPostBack('ctl00$ContentPlaceHolder1$Grd_tot_detail$ctl04$hypNovember','')" TargetMode="External"/><Relationship Id="rId2" Type="http://schemas.openxmlformats.org/officeDocument/2006/relationships/hyperlink" Target="javascript:__doPostBack('ctl00$ContentPlaceHolder1$Grd_tot_detail$ctl21$hypapr','')" TargetMode="External"/><Relationship Id="rId29" Type="http://schemas.openxmlformats.org/officeDocument/2006/relationships/hyperlink" Target="javascript:__doPostBack('ctl00$ContentPlaceHolder1$Grd_tot_detail$ctl17$hypNovember','')" TargetMode="External"/><Relationship Id="rId24" Type="http://schemas.openxmlformats.org/officeDocument/2006/relationships/hyperlink" Target="javascript:__doPostBack('ctl00$ContentPlaceHolder1$Grd_tot_detail$ctl17$hypjune','')" TargetMode="External"/><Relationship Id="rId40" Type="http://schemas.openxmlformats.org/officeDocument/2006/relationships/hyperlink" Target="javascript:__doPostBack('ctl00$ContentPlaceHolder1$Grd_tot_detail$ctl11$hypDecember','')" TargetMode="External"/><Relationship Id="rId45" Type="http://schemas.openxmlformats.org/officeDocument/2006/relationships/hyperlink" Target="javascript:__doPostBack('ctl00$ContentPlaceHolder1$Grd_tot_detail$ctl24$hypjuly','')" TargetMode="External"/><Relationship Id="rId66" Type="http://schemas.openxmlformats.org/officeDocument/2006/relationships/hyperlink" Target="javascript:__doPostBack('ctl00$ContentPlaceHolder1$Grd_tot_detail$ctl23$hypAugust','')" TargetMode="External"/><Relationship Id="rId87" Type="http://schemas.openxmlformats.org/officeDocument/2006/relationships/hyperlink" Target="javascript:__doPostBack('ctl00$ContentPlaceHolder1$Grd_tot_detail$ctl19$hypSeptember','')" TargetMode="External"/><Relationship Id="rId110" Type="http://schemas.openxmlformats.org/officeDocument/2006/relationships/hyperlink" Target="javascript:__doPostBack('ctl00$ContentPlaceHolder1$Grd_tot_detail$ctl08$hypDecember','')" TargetMode="External"/><Relationship Id="rId115" Type="http://schemas.openxmlformats.org/officeDocument/2006/relationships/hyperlink" Target="javascript:__doPostBack('ctl00$ContentPlaceHolder1$Grd_tot_detail$ctl12$hypjuly','')" TargetMode="External"/><Relationship Id="rId131" Type="http://schemas.openxmlformats.org/officeDocument/2006/relationships/hyperlink" Target="javascript:__doPostBack('ctl00$ContentPlaceHolder1$Grd_tot_detail$ctl15$lbtnfreezsch','')" TargetMode="External"/><Relationship Id="rId136" Type="http://schemas.openxmlformats.org/officeDocument/2006/relationships/hyperlink" Target="javascript:__doPostBack('ctl00$ContentPlaceHolder1$Grd_tot_detail$ctl15$hypAugust','')" TargetMode="External"/><Relationship Id="rId157" Type="http://schemas.openxmlformats.org/officeDocument/2006/relationships/hyperlink" Target="javascript:__doPostBack('ctl00$ContentPlaceHolder1$Grd_tot_detail$ctl09$hypSeptember','')" TargetMode="External"/><Relationship Id="rId178" Type="http://schemas.openxmlformats.org/officeDocument/2006/relationships/hyperlink" Target="javascript:__doPostBack('ctl00$ContentPlaceHolder1$Grd_tot_detail$ctl02$hypOcteber','')" TargetMode="External"/><Relationship Id="rId61" Type="http://schemas.openxmlformats.org/officeDocument/2006/relationships/hyperlink" Target="javascript:__doPostBack('ctl00$ContentPlaceHolder1$Grd_tot_detail$ctl23$lbtnfreezsch','')" TargetMode="External"/><Relationship Id="rId82" Type="http://schemas.openxmlformats.org/officeDocument/2006/relationships/hyperlink" Target="javascript:__doPostBack('ctl00$ContentPlaceHolder1$Grd_tot_detail$ctl19$hypapr','')" TargetMode="External"/><Relationship Id="rId152" Type="http://schemas.openxmlformats.org/officeDocument/2006/relationships/hyperlink" Target="javascript:__doPostBack('ctl00$ContentPlaceHolder1$Grd_tot_detail$ctl09$hypapr','')" TargetMode="External"/><Relationship Id="rId173" Type="http://schemas.openxmlformats.org/officeDocument/2006/relationships/hyperlink" Target="javascript:__doPostBack('ctl00$ContentPlaceHolder1$Grd_tot_detail$ctl02$hypmay','')" TargetMode="External"/><Relationship Id="rId194" Type="http://schemas.openxmlformats.org/officeDocument/2006/relationships/hyperlink" Target="javascript:__doPostBack('ctl00$ContentPlaceHolder1$Grd_tot_detail$ctl13$hypjune','')" TargetMode="External"/><Relationship Id="rId199" Type="http://schemas.openxmlformats.org/officeDocument/2006/relationships/hyperlink" Target="javascript:__doPostBack('ctl00$ContentPlaceHolder1$Grd_tot_detail$ctl13$hypNovember','')" TargetMode="External"/><Relationship Id="rId203" Type="http://schemas.openxmlformats.org/officeDocument/2006/relationships/hyperlink" Target="javascript:__doPostBack('ctl00$ContentPlaceHolder1$Grd_tot_detail$ctl22$hypmay','')" TargetMode="External"/><Relationship Id="rId208" Type="http://schemas.openxmlformats.org/officeDocument/2006/relationships/hyperlink" Target="javascript:__doPostBack('ctl00$ContentPlaceHolder1$Grd_tot_detail$ctl22$hypOcteber','')" TargetMode="External"/><Relationship Id="rId229" Type="http://schemas.openxmlformats.org/officeDocument/2006/relationships/hyperlink" Target="javascript:__doPostBack('ctl00$ContentPlaceHolder1$Grd_tot_detail$ctl10$hypNovember','')" TargetMode="External"/><Relationship Id="rId19" Type="http://schemas.openxmlformats.org/officeDocument/2006/relationships/hyperlink" Target="javascript:__doPostBack('ctl00$ContentPlaceHolder1$Grd_tot_detail$ctl14$hypNovember','')" TargetMode="External"/><Relationship Id="rId224" Type="http://schemas.openxmlformats.org/officeDocument/2006/relationships/hyperlink" Target="javascript:__doPostBack('ctl00$ContentPlaceHolder1$Grd_tot_detail$ctl10$hypjune','')" TargetMode="External"/><Relationship Id="rId240" Type="http://schemas.openxmlformats.org/officeDocument/2006/relationships/printerSettings" Target="../printerSettings/printerSettings51.bin"/><Relationship Id="rId14" Type="http://schemas.openxmlformats.org/officeDocument/2006/relationships/hyperlink" Target="javascript:__doPostBack('ctl00$ContentPlaceHolder1$Grd_tot_detail$ctl14$hypjune','')" TargetMode="External"/><Relationship Id="rId30" Type="http://schemas.openxmlformats.org/officeDocument/2006/relationships/hyperlink" Target="javascript:__doPostBack('ctl00$ContentPlaceHolder1$Grd_tot_detail$ctl17$hypDecember','')" TargetMode="External"/><Relationship Id="rId35" Type="http://schemas.openxmlformats.org/officeDocument/2006/relationships/hyperlink" Target="javascript:__doPostBack('ctl00$ContentPlaceHolder1$Grd_tot_detail$ctl11$hypjuly','')" TargetMode="External"/><Relationship Id="rId56" Type="http://schemas.openxmlformats.org/officeDocument/2006/relationships/hyperlink" Target="javascript:__doPostBack('ctl00$ContentPlaceHolder1$Grd_tot_detail$ctl07$hypAugust','')" TargetMode="External"/><Relationship Id="rId77" Type="http://schemas.openxmlformats.org/officeDocument/2006/relationships/hyperlink" Target="javascript:__doPostBack('ctl00$ContentPlaceHolder1$Grd_tot_detail$ctl25$hypSeptember','')" TargetMode="External"/><Relationship Id="rId100" Type="http://schemas.openxmlformats.org/officeDocument/2006/relationships/hyperlink" Target="javascript:__doPostBack('ctl00$ContentPlaceHolder1$Grd_tot_detail$ctl16$hypDecember','')" TargetMode="External"/><Relationship Id="rId105" Type="http://schemas.openxmlformats.org/officeDocument/2006/relationships/hyperlink" Target="javascript:__doPostBack('ctl00$ContentPlaceHolder1$Grd_tot_detail$ctl08$hypjuly','')" TargetMode="External"/><Relationship Id="rId126" Type="http://schemas.openxmlformats.org/officeDocument/2006/relationships/hyperlink" Target="javascript:__doPostBack('ctl00$ContentPlaceHolder1$Grd_tot_detail$ctl20$hypAugust','')" TargetMode="External"/><Relationship Id="rId147" Type="http://schemas.openxmlformats.org/officeDocument/2006/relationships/hyperlink" Target="javascript:__doPostBack('ctl00$ContentPlaceHolder1$Grd_tot_detail$ctl03$hypSeptember','')" TargetMode="External"/><Relationship Id="rId168" Type="http://schemas.openxmlformats.org/officeDocument/2006/relationships/hyperlink" Target="javascript:__doPostBack('ctl00$ContentPlaceHolder1$Grd_tot_detail$ctl05$hypOcteber','')" TargetMode="External"/><Relationship Id="rId8" Type="http://schemas.openxmlformats.org/officeDocument/2006/relationships/hyperlink" Target="javascript:__doPostBack('ctl00$ContentPlaceHolder1$Grd_tot_detail$ctl21$hypOcteber','')" TargetMode="External"/><Relationship Id="rId51" Type="http://schemas.openxmlformats.org/officeDocument/2006/relationships/hyperlink" Target="javascript:__doPostBack('ctl00$ContentPlaceHolder1$Grd_tot_detail$ctl07$lbtnfreezsch','')" TargetMode="External"/><Relationship Id="rId72" Type="http://schemas.openxmlformats.org/officeDocument/2006/relationships/hyperlink" Target="javascript:__doPostBack('ctl00$ContentPlaceHolder1$Grd_tot_detail$ctl25$hypapr','')" TargetMode="External"/><Relationship Id="rId93" Type="http://schemas.openxmlformats.org/officeDocument/2006/relationships/hyperlink" Target="javascript:__doPostBack('ctl00$ContentPlaceHolder1$Grd_tot_detail$ctl16$hypmay','')" TargetMode="External"/><Relationship Id="rId98" Type="http://schemas.openxmlformats.org/officeDocument/2006/relationships/hyperlink" Target="javascript:__doPostBack('ctl00$ContentPlaceHolder1$Grd_tot_detail$ctl16$hypOcteber','')" TargetMode="External"/><Relationship Id="rId121" Type="http://schemas.openxmlformats.org/officeDocument/2006/relationships/hyperlink" Target="javascript:__doPostBack('ctl00$ContentPlaceHolder1$Grd_tot_detail$ctl20$lbtnfreezsch','')" TargetMode="External"/><Relationship Id="rId142" Type="http://schemas.openxmlformats.org/officeDocument/2006/relationships/hyperlink" Target="javascript:__doPostBack('ctl00$ContentPlaceHolder1$Grd_tot_detail$ctl03$hypapr','')" TargetMode="External"/><Relationship Id="rId163" Type="http://schemas.openxmlformats.org/officeDocument/2006/relationships/hyperlink" Target="javascript:__doPostBack('ctl00$ContentPlaceHolder1$Grd_tot_detail$ctl05$hypmay','')" TargetMode="External"/><Relationship Id="rId184" Type="http://schemas.openxmlformats.org/officeDocument/2006/relationships/hyperlink" Target="javascript:__doPostBack('ctl00$ContentPlaceHolder1$Grd_tot_detail$ctl06$hypjune','')" TargetMode="External"/><Relationship Id="rId189" Type="http://schemas.openxmlformats.org/officeDocument/2006/relationships/hyperlink" Target="javascript:__doPostBack('ctl00$ContentPlaceHolder1$Grd_tot_detail$ctl06$hypNovember','')" TargetMode="External"/><Relationship Id="rId219" Type="http://schemas.openxmlformats.org/officeDocument/2006/relationships/hyperlink" Target="javascript:__doPostBack('ctl00$ContentPlaceHolder1$Grd_tot_detail$ctl18$hypNovember','')" TargetMode="External"/><Relationship Id="rId3" Type="http://schemas.openxmlformats.org/officeDocument/2006/relationships/hyperlink" Target="javascript:__doPostBack('ctl00$ContentPlaceHolder1$Grd_tot_detail$ctl21$hypmay','')" TargetMode="External"/><Relationship Id="rId214" Type="http://schemas.openxmlformats.org/officeDocument/2006/relationships/hyperlink" Target="javascript:__doPostBack('ctl00$ContentPlaceHolder1$Grd_tot_detail$ctl18$hypjune','')" TargetMode="External"/><Relationship Id="rId230" Type="http://schemas.openxmlformats.org/officeDocument/2006/relationships/hyperlink" Target="javascript:__doPostBack('ctl00$ContentPlaceHolder1$Grd_tot_detail$ctl10$hypDecember','')" TargetMode="External"/><Relationship Id="rId235" Type="http://schemas.openxmlformats.org/officeDocument/2006/relationships/hyperlink" Target="javascript:__doPostBack('ctl00$ContentPlaceHolder1$Grd_tot_detail$ctl04$hypjuly','')" TargetMode="External"/><Relationship Id="rId25" Type="http://schemas.openxmlformats.org/officeDocument/2006/relationships/hyperlink" Target="javascript:__doPostBack('ctl00$ContentPlaceHolder1$Grd_tot_detail$ctl17$hypjuly','')" TargetMode="External"/><Relationship Id="rId46" Type="http://schemas.openxmlformats.org/officeDocument/2006/relationships/hyperlink" Target="javascript:__doPostBack('ctl00$ContentPlaceHolder1$Grd_tot_detail$ctl24$hypAugust','')" TargetMode="External"/><Relationship Id="rId67" Type="http://schemas.openxmlformats.org/officeDocument/2006/relationships/hyperlink" Target="javascript:__doPostBack('ctl00$ContentPlaceHolder1$Grd_tot_detail$ctl23$hypSeptember','')" TargetMode="External"/><Relationship Id="rId116" Type="http://schemas.openxmlformats.org/officeDocument/2006/relationships/hyperlink" Target="javascript:__doPostBack('ctl00$ContentPlaceHolder1$Grd_tot_detail$ctl12$hypAugust','')" TargetMode="External"/><Relationship Id="rId137" Type="http://schemas.openxmlformats.org/officeDocument/2006/relationships/hyperlink" Target="javascript:__doPostBack('ctl00$ContentPlaceHolder1$Grd_tot_detail$ctl15$hypSeptember','')" TargetMode="External"/><Relationship Id="rId158" Type="http://schemas.openxmlformats.org/officeDocument/2006/relationships/hyperlink" Target="javascript:__doPostBack('ctl00$ContentPlaceHolder1$Grd_tot_detail$ctl09$hypOcteber','')" TargetMode="External"/><Relationship Id="rId20" Type="http://schemas.openxmlformats.org/officeDocument/2006/relationships/hyperlink" Target="javascript:__doPostBack('ctl00$ContentPlaceHolder1$Grd_tot_detail$ctl14$hypDecember','')" TargetMode="External"/><Relationship Id="rId41" Type="http://schemas.openxmlformats.org/officeDocument/2006/relationships/hyperlink" Target="javascript:__doPostBack('ctl00$ContentPlaceHolder1$Grd_tot_detail$ctl24$lbtnfreezsch','')" TargetMode="External"/><Relationship Id="rId62" Type="http://schemas.openxmlformats.org/officeDocument/2006/relationships/hyperlink" Target="javascript:__doPostBack('ctl00$ContentPlaceHolder1$Grd_tot_detail$ctl23$hypapr','')" TargetMode="External"/><Relationship Id="rId83" Type="http://schemas.openxmlformats.org/officeDocument/2006/relationships/hyperlink" Target="javascript:__doPostBack('ctl00$ContentPlaceHolder1$Grd_tot_detail$ctl19$hypmay','')" TargetMode="External"/><Relationship Id="rId88" Type="http://schemas.openxmlformats.org/officeDocument/2006/relationships/hyperlink" Target="javascript:__doPostBack('ctl00$ContentPlaceHolder1$Grd_tot_detail$ctl19$hypOcteber','')" TargetMode="External"/><Relationship Id="rId111" Type="http://schemas.openxmlformats.org/officeDocument/2006/relationships/hyperlink" Target="javascript:__doPostBack('ctl00$ContentPlaceHolder1$Grd_tot_detail$ctl12$lbtnfreezsch','')" TargetMode="External"/><Relationship Id="rId132" Type="http://schemas.openxmlformats.org/officeDocument/2006/relationships/hyperlink" Target="javascript:__doPostBack('ctl00$ContentPlaceHolder1$Grd_tot_detail$ctl15$hypapr','')" TargetMode="External"/><Relationship Id="rId153" Type="http://schemas.openxmlformats.org/officeDocument/2006/relationships/hyperlink" Target="javascript:__doPostBack('ctl00$ContentPlaceHolder1$Grd_tot_detail$ctl09$hypmay','')" TargetMode="External"/><Relationship Id="rId174" Type="http://schemas.openxmlformats.org/officeDocument/2006/relationships/hyperlink" Target="javascript:__doPostBack('ctl00$ContentPlaceHolder1$Grd_tot_detail$ctl02$hypjune','')" TargetMode="External"/><Relationship Id="rId179" Type="http://schemas.openxmlformats.org/officeDocument/2006/relationships/hyperlink" Target="javascript:__doPostBack('ctl00$ContentPlaceHolder1$Grd_tot_detail$ctl02$hypNovember','')" TargetMode="External"/><Relationship Id="rId195" Type="http://schemas.openxmlformats.org/officeDocument/2006/relationships/hyperlink" Target="javascript:__doPostBack('ctl00$ContentPlaceHolder1$Grd_tot_detail$ctl13$hypjuly','')" TargetMode="External"/><Relationship Id="rId209" Type="http://schemas.openxmlformats.org/officeDocument/2006/relationships/hyperlink" Target="javascript:__doPostBack('ctl00$ContentPlaceHolder1$Grd_tot_detail$ctl22$hypNovember','')" TargetMode="External"/><Relationship Id="rId190" Type="http://schemas.openxmlformats.org/officeDocument/2006/relationships/hyperlink" Target="javascript:__doPostBack('ctl00$ContentPlaceHolder1$Grd_tot_detail$ctl06$hypDecember','')" TargetMode="External"/><Relationship Id="rId204" Type="http://schemas.openxmlformats.org/officeDocument/2006/relationships/hyperlink" Target="javascript:__doPostBack('ctl00$ContentPlaceHolder1$Grd_tot_detail$ctl22$hypjune','')" TargetMode="External"/><Relationship Id="rId220" Type="http://schemas.openxmlformats.org/officeDocument/2006/relationships/hyperlink" Target="javascript:__doPostBack('ctl00$ContentPlaceHolder1$Grd_tot_detail$ctl18$hypDecember','')" TargetMode="External"/><Relationship Id="rId225" Type="http://schemas.openxmlformats.org/officeDocument/2006/relationships/hyperlink" Target="javascript:__doPostBack('ctl00$ContentPlaceHolder1$Grd_tot_detail$ctl10$hypjuly','')" TargetMode="External"/><Relationship Id="rId15" Type="http://schemas.openxmlformats.org/officeDocument/2006/relationships/hyperlink" Target="javascript:__doPostBack('ctl00$ContentPlaceHolder1$Grd_tot_detail$ctl14$hypjuly','')" TargetMode="External"/><Relationship Id="rId36" Type="http://schemas.openxmlformats.org/officeDocument/2006/relationships/hyperlink" Target="javascript:__doPostBack('ctl00$ContentPlaceHolder1$Grd_tot_detail$ctl11$hypAugust','')" TargetMode="External"/><Relationship Id="rId57" Type="http://schemas.openxmlformats.org/officeDocument/2006/relationships/hyperlink" Target="javascript:__doPostBack('ctl00$ContentPlaceHolder1$Grd_tot_detail$ctl07$hypSeptember','')" TargetMode="External"/><Relationship Id="rId106" Type="http://schemas.openxmlformats.org/officeDocument/2006/relationships/hyperlink" Target="javascript:__doPostBack('ctl00$ContentPlaceHolder1$Grd_tot_detail$ctl08$hypAugust','')" TargetMode="External"/><Relationship Id="rId127" Type="http://schemas.openxmlformats.org/officeDocument/2006/relationships/hyperlink" Target="javascript:__doPostBack('ctl00$ContentPlaceHolder1$Grd_tot_detail$ctl20$hypSeptember','')" TargetMode="External"/><Relationship Id="rId10" Type="http://schemas.openxmlformats.org/officeDocument/2006/relationships/hyperlink" Target="javascript:__doPostBack('ctl00$ContentPlaceHolder1$Grd_tot_detail$ctl21$hypDecember','')" TargetMode="External"/><Relationship Id="rId31" Type="http://schemas.openxmlformats.org/officeDocument/2006/relationships/hyperlink" Target="javascript:__doPostBack('ctl00$ContentPlaceHolder1$Grd_tot_detail$ctl11$lbtnfreezsch','')" TargetMode="External"/><Relationship Id="rId52" Type="http://schemas.openxmlformats.org/officeDocument/2006/relationships/hyperlink" Target="javascript:__doPostBack('ctl00$ContentPlaceHolder1$Grd_tot_detail$ctl07$hypapr','')" TargetMode="External"/><Relationship Id="rId73" Type="http://schemas.openxmlformats.org/officeDocument/2006/relationships/hyperlink" Target="javascript:__doPostBack('ctl00$ContentPlaceHolder1$Grd_tot_detail$ctl25$hypmay','')" TargetMode="External"/><Relationship Id="rId78" Type="http://schemas.openxmlformats.org/officeDocument/2006/relationships/hyperlink" Target="javascript:__doPostBack('ctl00$ContentPlaceHolder1$Grd_tot_detail$ctl25$hypOcteber','')" TargetMode="External"/><Relationship Id="rId94" Type="http://schemas.openxmlformats.org/officeDocument/2006/relationships/hyperlink" Target="javascript:__doPostBack('ctl00$ContentPlaceHolder1$Grd_tot_detail$ctl16$hypjune','')" TargetMode="External"/><Relationship Id="rId99" Type="http://schemas.openxmlformats.org/officeDocument/2006/relationships/hyperlink" Target="javascript:__doPostBack('ctl00$ContentPlaceHolder1$Grd_tot_detail$ctl16$hypNovember','')" TargetMode="External"/><Relationship Id="rId101" Type="http://schemas.openxmlformats.org/officeDocument/2006/relationships/hyperlink" Target="javascript:__doPostBack('ctl00$ContentPlaceHolder1$Grd_tot_detail$ctl08$lbtnfreezsch','')" TargetMode="External"/><Relationship Id="rId122" Type="http://schemas.openxmlformats.org/officeDocument/2006/relationships/hyperlink" Target="javascript:__doPostBack('ctl00$ContentPlaceHolder1$Grd_tot_detail$ctl20$hypapr','')" TargetMode="External"/><Relationship Id="rId143" Type="http://schemas.openxmlformats.org/officeDocument/2006/relationships/hyperlink" Target="javascript:__doPostBack('ctl00$ContentPlaceHolder1$Grd_tot_detail$ctl03$hypmay','')" TargetMode="External"/><Relationship Id="rId148" Type="http://schemas.openxmlformats.org/officeDocument/2006/relationships/hyperlink" Target="javascript:__doPostBack('ctl00$ContentPlaceHolder1$Grd_tot_detail$ctl03$hypOcteber','')" TargetMode="External"/><Relationship Id="rId164" Type="http://schemas.openxmlformats.org/officeDocument/2006/relationships/hyperlink" Target="javascript:__doPostBack('ctl00$ContentPlaceHolder1$Grd_tot_detail$ctl05$hypjune','')" TargetMode="External"/><Relationship Id="rId169" Type="http://schemas.openxmlformats.org/officeDocument/2006/relationships/hyperlink" Target="javascript:__doPostBack('ctl00$ContentPlaceHolder1$Grd_tot_detail$ctl05$hypNovember','')" TargetMode="External"/><Relationship Id="rId185" Type="http://schemas.openxmlformats.org/officeDocument/2006/relationships/hyperlink" Target="javascript:__doPostBack('ctl00$ContentPlaceHolder1$Grd_tot_detail$ctl06$hypjuly','')" TargetMode="External"/><Relationship Id="rId4" Type="http://schemas.openxmlformats.org/officeDocument/2006/relationships/hyperlink" Target="javascript:__doPostBack('ctl00$ContentPlaceHolder1$Grd_tot_detail$ctl21$hypjune','')" TargetMode="External"/><Relationship Id="rId9" Type="http://schemas.openxmlformats.org/officeDocument/2006/relationships/hyperlink" Target="javascript:__doPostBack('ctl00$ContentPlaceHolder1$Grd_tot_detail$ctl21$hypNovember','')" TargetMode="External"/><Relationship Id="rId180" Type="http://schemas.openxmlformats.org/officeDocument/2006/relationships/hyperlink" Target="javascript:__doPostBack('ctl00$ContentPlaceHolder1$Grd_tot_detail$ctl02$hypDecember','')" TargetMode="External"/><Relationship Id="rId210" Type="http://schemas.openxmlformats.org/officeDocument/2006/relationships/hyperlink" Target="javascript:__doPostBack('ctl00$ContentPlaceHolder1$Grd_tot_detail$ctl22$hypDecember','')" TargetMode="External"/><Relationship Id="rId215" Type="http://schemas.openxmlformats.org/officeDocument/2006/relationships/hyperlink" Target="javascript:__doPostBack('ctl00$ContentPlaceHolder1$Grd_tot_detail$ctl18$hypjuly','')" TargetMode="External"/><Relationship Id="rId236" Type="http://schemas.openxmlformats.org/officeDocument/2006/relationships/hyperlink" Target="javascript:__doPostBack('ctl00$ContentPlaceHolder1$Grd_tot_detail$ctl04$hypAugust','')" TargetMode="External"/><Relationship Id="rId26" Type="http://schemas.openxmlformats.org/officeDocument/2006/relationships/hyperlink" Target="javascript:__doPostBack('ctl00$ContentPlaceHolder1$Grd_tot_detail$ctl17$hypAugust','')" TargetMode="External"/><Relationship Id="rId231" Type="http://schemas.openxmlformats.org/officeDocument/2006/relationships/hyperlink" Target="javascript:__doPostBack('ctl00$ContentPlaceHolder1$Grd_tot_detail$ctl04$lbtnfreezsch','')" TargetMode="External"/><Relationship Id="rId47" Type="http://schemas.openxmlformats.org/officeDocument/2006/relationships/hyperlink" Target="javascript:__doPostBack('ctl00$ContentPlaceHolder1$Grd_tot_detail$ctl24$hypSeptember','')" TargetMode="External"/><Relationship Id="rId68" Type="http://schemas.openxmlformats.org/officeDocument/2006/relationships/hyperlink" Target="javascript:__doPostBack('ctl00$ContentPlaceHolder1$Grd_tot_detail$ctl23$hypOcteber','')" TargetMode="External"/><Relationship Id="rId89" Type="http://schemas.openxmlformats.org/officeDocument/2006/relationships/hyperlink" Target="javascript:__doPostBack('ctl00$ContentPlaceHolder1$Grd_tot_detail$ctl19$hypNovember','')" TargetMode="External"/><Relationship Id="rId112" Type="http://schemas.openxmlformats.org/officeDocument/2006/relationships/hyperlink" Target="javascript:__doPostBack('ctl00$ContentPlaceHolder1$Grd_tot_detail$ctl12$hypapr','')" TargetMode="External"/><Relationship Id="rId133" Type="http://schemas.openxmlformats.org/officeDocument/2006/relationships/hyperlink" Target="javascript:__doPostBack('ctl00$ContentPlaceHolder1$Grd_tot_detail$ctl15$hypmay','')" TargetMode="External"/><Relationship Id="rId154" Type="http://schemas.openxmlformats.org/officeDocument/2006/relationships/hyperlink" Target="javascript:__doPostBack('ctl00$ContentPlaceHolder1$Grd_tot_detail$ctl09$hypjune','')" TargetMode="External"/><Relationship Id="rId175" Type="http://schemas.openxmlformats.org/officeDocument/2006/relationships/hyperlink" Target="javascript:__doPostBack('ctl00$ContentPlaceHolder1$Grd_tot_detail$ctl02$hypjuly','')" TargetMode="External"/><Relationship Id="rId196" Type="http://schemas.openxmlformats.org/officeDocument/2006/relationships/hyperlink" Target="javascript:__doPostBack('ctl00$ContentPlaceHolder1$Grd_tot_detail$ctl13$hypAugust','')" TargetMode="External"/><Relationship Id="rId200" Type="http://schemas.openxmlformats.org/officeDocument/2006/relationships/hyperlink" Target="javascript:__doPostBack('ctl00$ContentPlaceHolder1$Grd_tot_detail$ctl13$hypDecember','')" TargetMode="External"/><Relationship Id="rId16" Type="http://schemas.openxmlformats.org/officeDocument/2006/relationships/hyperlink" Target="javascript:__doPostBack('ctl00$ContentPlaceHolder1$Grd_tot_detail$ctl14$hypAugust','')" TargetMode="External"/><Relationship Id="rId221" Type="http://schemas.openxmlformats.org/officeDocument/2006/relationships/hyperlink" Target="javascript:__doPostBack('ctl00$ContentPlaceHolder1$Grd_tot_detail$ctl10$lbtnfreezsch','')" TargetMode="External"/><Relationship Id="rId37" Type="http://schemas.openxmlformats.org/officeDocument/2006/relationships/hyperlink" Target="javascript:__doPostBack('ctl00$ContentPlaceHolder1$Grd_tot_detail$ctl11$hypSeptember','')" TargetMode="External"/><Relationship Id="rId58" Type="http://schemas.openxmlformats.org/officeDocument/2006/relationships/hyperlink" Target="javascript:__doPostBack('ctl00$ContentPlaceHolder1$Grd_tot_detail$ctl07$hypOcteber','')" TargetMode="External"/><Relationship Id="rId79" Type="http://schemas.openxmlformats.org/officeDocument/2006/relationships/hyperlink" Target="javascript:__doPostBack('ctl00$ContentPlaceHolder1$Grd_tot_detail$ctl25$hypNovember','')" TargetMode="External"/><Relationship Id="rId102" Type="http://schemas.openxmlformats.org/officeDocument/2006/relationships/hyperlink" Target="javascript:__doPostBack('ctl00$ContentPlaceHolder1$Grd_tot_detail$ctl08$hypapr','')" TargetMode="External"/><Relationship Id="rId123" Type="http://schemas.openxmlformats.org/officeDocument/2006/relationships/hyperlink" Target="javascript:__doPostBack('ctl00$ContentPlaceHolder1$Grd_tot_detail$ctl20$hypmay','')" TargetMode="External"/><Relationship Id="rId144" Type="http://schemas.openxmlformats.org/officeDocument/2006/relationships/hyperlink" Target="javascript:__doPostBack('ctl00$ContentPlaceHolder1$Grd_tot_detail$ctl03$hypjune','')" TargetMode="External"/><Relationship Id="rId90" Type="http://schemas.openxmlformats.org/officeDocument/2006/relationships/hyperlink" Target="javascript:__doPostBack('ctl00$ContentPlaceHolder1$Grd_tot_detail$ctl19$hypDecember','')" TargetMode="External"/><Relationship Id="rId165" Type="http://schemas.openxmlformats.org/officeDocument/2006/relationships/hyperlink" Target="javascript:__doPostBack('ctl00$ContentPlaceHolder1$Grd_tot_detail$ctl05$hypjuly','')" TargetMode="External"/><Relationship Id="rId186" Type="http://schemas.openxmlformats.org/officeDocument/2006/relationships/hyperlink" Target="javascript:__doPostBack('ctl00$ContentPlaceHolder1$Grd_tot_detail$ctl06$hypAugust','')" TargetMode="External"/><Relationship Id="rId211" Type="http://schemas.openxmlformats.org/officeDocument/2006/relationships/hyperlink" Target="javascript:__doPostBack('ctl00$ContentPlaceHolder1$Grd_tot_detail$ctl18$lbtnfreezsch','')" TargetMode="External"/><Relationship Id="rId232" Type="http://schemas.openxmlformats.org/officeDocument/2006/relationships/hyperlink" Target="javascript:__doPostBack('ctl00$ContentPlaceHolder1$Grd_tot_detail$ctl04$hypapr','')" TargetMode="External"/><Relationship Id="rId27" Type="http://schemas.openxmlformats.org/officeDocument/2006/relationships/hyperlink" Target="javascript:__doPostBack('ctl00$ContentPlaceHolder1$Grd_tot_detail$ctl17$hypSeptember','')" TargetMode="External"/><Relationship Id="rId48" Type="http://schemas.openxmlformats.org/officeDocument/2006/relationships/hyperlink" Target="javascript:__doPostBack('ctl00$ContentPlaceHolder1$Grd_tot_detail$ctl24$hypOcteber','')" TargetMode="External"/><Relationship Id="rId69" Type="http://schemas.openxmlformats.org/officeDocument/2006/relationships/hyperlink" Target="javascript:__doPostBack('ctl00$ContentPlaceHolder1$Grd_tot_detail$ctl23$hypNovember','')" TargetMode="External"/><Relationship Id="rId113" Type="http://schemas.openxmlformats.org/officeDocument/2006/relationships/hyperlink" Target="javascript:__doPostBack('ctl00$ContentPlaceHolder1$Grd_tot_detail$ctl12$hypmay','')" TargetMode="External"/><Relationship Id="rId134" Type="http://schemas.openxmlformats.org/officeDocument/2006/relationships/hyperlink" Target="javascript:__doPostBack('ctl00$ContentPlaceHolder1$Grd_tot_detail$ctl15$hypjune','')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0"/>
  <sheetViews>
    <sheetView topLeftCell="A24" zoomScaleNormal="100" zoomScaleSheetLayoutView="90" workbookViewId="0">
      <selection activeCell="C29" sqref="C29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683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48"/>
  <sheetViews>
    <sheetView topLeftCell="A7" zoomScaleNormal="100" zoomScaleSheetLayoutView="90" workbookViewId="0">
      <selection activeCell="C29" sqref="C29"/>
    </sheetView>
  </sheetViews>
  <sheetFormatPr defaultRowHeight="12.75" x14ac:dyDescent="0.2"/>
  <cols>
    <col min="1" max="1" width="7.5703125" customWidth="1"/>
    <col min="2" max="2" width="15.42578125" bestFit="1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853"/>
      <c r="E1" s="853"/>
      <c r="F1" s="853"/>
      <c r="G1" s="853"/>
      <c r="H1" s="853"/>
      <c r="I1" s="853"/>
      <c r="J1" s="853"/>
      <c r="K1" s="1"/>
      <c r="M1" s="94" t="s">
        <v>90</v>
      </c>
    </row>
    <row r="2" spans="1:19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</row>
    <row r="3" spans="1:19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</row>
    <row r="4" spans="1:19" ht="11.25" customHeight="1" x14ac:dyDescent="0.2"/>
    <row r="5" spans="1:19" ht="15.75" x14ac:dyDescent="0.25">
      <c r="A5" s="852" t="s">
        <v>794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</row>
    <row r="7" spans="1:19" x14ac:dyDescent="0.2">
      <c r="A7" s="820" t="s">
        <v>920</v>
      </c>
      <c r="B7" s="820"/>
      <c r="L7" s="927" t="s">
        <v>830</v>
      </c>
      <c r="M7" s="927"/>
      <c r="N7" s="927"/>
    </row>
    <row r="8" spans="1:19" ht="15.75" customHeight="1" x14ac:dyDescent="0.2">
      <c r="A8" s="818" t="s">
        <v>2</v>
      </c>
      <c r="B8" s="818" t="s">
        <v>3</v>
      </c>
      <c r="C8" s="802" t="s">
        <v>4</v>
      </c>
      <c r="D8" s="802"/>
      <c r="E8" s="802"/>
      <c r="F8" s="802"/>
      <c r="G8" s="802"/>
      <c r="H8" s="802" t="s">
        <v>104</v>
      </c>
      <c r="I8" s="802"/>
      <c r="J8" s="802"/>
      <c r="K8" s="802"/>
      <c r="L8" s="802"/>
      <c r="M8" s="818" t="s">
        <v>129</v>
      </c>
      <c r="N8" s="834" t="s">
        <v>130</v>
      </c>
    </row>
    <row r="9" spans="1:19" ht="51" x14ac:dyDescent="0.2">
      <c r="A9" s="819"/>
      <c r="B9" s="819"/>
      <c r="C9" s="5" t="s">
        <v>5</v>
      </c>
      <c r="D9" s="5" t="s">
        <v>6</v>
      </c>
      <c r="E9" s="5" t="s">
        <v>353</v>
      </c>
      <c r="F9" s="5" t="s">
        <v>102</v>
      </c>
      <c r="G9" s="5" t="s">
        <v>201</v>
      </c>
      <c r="H9" s="5" t="s">
        <v>5</v>
      </c>
      <c r="I9" s="5" t="s">
        <v>6</v>
      </c>
      <c r="J9" s="5" t="s">
        <v>353</v>
      </c>
      <c r="K9" s="5" t="s">
        <v>102</v>
      </c>
      <c r="L9" s="5" t="s">
        <v>200</v>
      </c>
      <c r="M9" s="819"/>
      <c r="N9" s="834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176" t="s">
        <v>896</v>
      </c>
      <c r="C11" s="495">
        <v>739</v>
      </c>
      <c r="D11" s="496">
        <v>54</v>
      </c>
      <c r="E11" s="496">
        <v>0</v>
      </c>
      <c r="F11" s="497">
        <v>2</v>
      </c>
      <c r="G11" s="495">
        <f>SUM(C11:F11)</f>
        <v>795</v>
      </c>
      <c r="H11" s="515">
        <v>739</v>
      </c>
      <c r="I11" s="516">
        <v>54</v>
      </c>
      <c r="J11" s="516">
        <v>0</v>
      </c>
      <c r="K11" s="517">
        <v>2</v>
      </c>
      <c r="L11" s="495">
        <f>SUM(H11:K11)</f>
        <v>795</v>
      </c>
      <c r="M11" s="495">
        <f>G11-L11</f>
        <v>0</v>
      </c>
      <c r="N11" s="17"/>
    </row>
    <row r="12" spans="1:19" x14ac:dyDescent="0.2">
      <c r="A12" s="8">
        <v>2</v>
      </c>
      <c r="B12" s="176" t="s">
        <v>897</v>
      </c>
      <c r="C12" s="495">
        <v>268</v>
      </c>
      <c r="D12" s="496">
        <v>32</v>
      </c>
      <c r="E12" s="496">
        <v>0</v>
      </c>
      <c r="F12" s="497">
        <v>0</v>
      </c>
      <c r="G12" s="495">
        <f t="shared" ref="G12:G34" si="0">SUM(C12:F12)</f>
        <v>300</v>
      </c>
      <c r="H12" s="515">
        <v>268</v>
      </c>
      <c r="I12" s="516">
        <v>32</v>
      </c>
      <c r="J12" s="516">
        <v>0</v>
      </c>
      <c r="K12" s="517">
        <v>0</v>
      </c>
      <c r="L12" s="495">
        <f t="shared" ref="L12:L34" si="1">SUM(H12:K12)</f>
        <v>300</v>
      </c>
      <c r="M12" s="495">
        <f t="shared" ref="M12:M34" si="2">G12-L12</f>
        <v>0</v>
      </c>
      <c r="N12" s="8"/>
    </row>
    <row r="13" spans="1:19" x14ac:dyDescent="0.2">
      <c r="A13" s="8">
        <v>3</v>
      </c>
      <c r="B13" s="176" t="s">
        <v>898</v>
      </c>
      <c r="C13" s="495">
        <v>191</v>
      </c>
      <c r="D13" s="496">
        <v>4</v>
      </c>
      <c r="E13" s="496">
        <v>0</v>
      </c>
      <c r="F13" s="497">
        <v>0</v>
      </c>
      <c r="G13" s="495">
        <f t="shared" si="0"/>
        <v>195</v>
      </c>
      <c r="H13" s="515">
        <v>191</v>
      </c>
      <c r="I13" s="516">
        <v>4</v>
      </c>
      <c r="J13" s="516">
        <v>0</v>
      </c>
      <c r="K13" s="517">
        <v>0</v>
      </c>
      <c r="L13" s="495">
        <f t="shared" si="1"/>
        <v>195</v>
      </c>
      <c r="M13" s="495">
        <f t="shared" si="2"/>
        <v>0</v>
      </c>
      <c r="N13" s="8"/>
    </row>
    <row r="14" spans="1:19" x14ac:dyDescent="0.2">
      <c r="A14" s="8">
        <v>4</v>
      </c>
      <c r="B14" s="176" t="s">
        <v>899</v>
      </c>
      <c r="C14" s="495">
        <v>498</v>
      </c>
      <c r="D14" s="496">
        <v>64</v>
      </c>
      <c r="E14" s="496">
        <v>0</v>
      </c>
      <c r="F14" s="497">
        <v>1</v>
      </c>
      <c r="G14" s="495">
        <f t="shared" si="0"/>
        <v>563</v>
      </c>
      <c r="H14" s="515">
        <v>498</v>
      </c>
      <c r="I14" s="516">
        <v>64</v>
      </c>
      <c r="J14" s="516">
        <v>0</v>
      </c>
      <c r="K14" s="517">
        <v>1</v>
      </c>
      <c r="L14" s="495">
        <f t="shared" si="1"/>
        <v>563</v>
      </c>
      <c r="M14" s="495">
        <f t="shared" si="2"/>
        <v>0</v>
      </c>
      <c r="N14" s="8"/>
    </row>
    <row r="15" spans="1:19" x14ac:dyDescent="0.2">
      <c r="A15" s="8">
        <v>5</v>
      </c>
      <c r="B15" s="176" t="s">
        <v>900</v>
      </c>
      <c r="C15" s="495">
        <v>285</v>
      </c>
      <c r="D15" s="496">
        <v>59</v>
      </c>
      <c r="E15" s="496">
        <v>0</v>
      </c>
      <c r="F15" s="497">
        <v>0</v>
      </c>
      <c r="G15" s="495">
        <f t="shared" si="0"/>
        <v>344</v>
      </c>
      <c r="H15" s="515">
        <v>285</v>
      </c>
      <c r="I15" s="516">
        <v>59</v>
      </c>
      <c r="J15" s="516">
        <v>0</v>
      </c>
      <c r="K15" s="517">
        <v>0</v>
      </c>
      <c r="L15" s="495">
        <f t="shared" si="1"/>
        <v>344</v>
      </c>
      <c r="M15" s="495">
        <f t="shared" si="2"/>
        <v>0</v>
      </c>
      <c r="N15" s="8"/>
    </row>
    <row r="16" spans="1:19" x14ac:dyDescent="0.2">
      <c r="A16" s="8">
        <v>6</v>
      </c>
      <c r="B16" s="176" t="s">
        <v>901</v>
      </c>
      <c r="C16" s="495">
        <v>578</v>
      </c>
      <c r="D16" s="496">
        <v>46</v>
      </c>
      <c r="E16" s="496">
        <v>0</v>
      </c>
      <c r="F16" s="497">
        <v>1</v>
      </c>
      <c r="G16" s="495">
        <f t="shared" si="0"/>
        <v>625</v>
      </c>
      <c r="H16" s="515">
        <v>578</v>
      </c>
      <c r="I16" s="516">
        <v>46</v>
      </c>
      <c r="J16" s="516">
        <v>0</v>
      </c>
      <c r="K16" s="517">
        <v>1</v>
      </c>
      <c r="L16" s="495">
        <f t="shared" si="1"/>
        <v>625</v>
      </c>
      <c r="M16" s="495">
        <f t="shared" si="2"/>
        <v>0</v>
      </c>
      <c r="N16" s="8"/>
    </row>
    <row r="17" spans="1:14" x14ac:dyDescent="0.2">
      <c r="A17" s="8">
        <v>7</v>
      </c>
      <c r="B17" s="176" t="s">
        <v>902</v>
      </c>
      <c r="C17" s="495">
        <v>551</v>
      </c>
      <c r="D17" s="496">
        <v>0</v>
      </c>
      <c r="E17" s="496">
        <v>0</v>
      </c>
      <c r="F17" s="497">
        <v>0</v>
      </c>
      <c r="G17" s="495">
        <f t="shared" si="0"/>
        <v>551</v>
      </c>
      <c r="H17" s="515">
        <v>551</v>
      </c>
      <c r="I17" s="516">
        <v>0</v>
      </c>
      <c r="J17" s="516">
        <v>0</v>
      </c>
      <c r="K17" s="517">
        <v>0</v>
      </c>
      <c r="L17" s="495">
        <f t="shared" si="1"/>
        <v>551</v>
      </c>
      <c r="M17" s="495">
        <f t="shared" si="2"/>
        <v>0</v>
      </c>
      <c r="N17" s="8"/>
    </row>
    <row r="18" spans="1:14" x14ac:dyDescent="0.2">
      <c r="A18" s="8">
        <v>8</v>
      </c>
      <c r="B18" s="176" t="s">
        <v>903</v>
      </c>
      <c r="C18" s="495">
        <v>644</v>
      </c>
      <c r="D18" s="496">
        <v>23</v>
      </c>
      <c r="E18" s="496">
        <v>0</v>
      </c>
      <c r="F18" s="497">
        <v>1</v>
      </c>
      <c r="G18" s="495">
        <f t="shared" si="0"/>
        <v>668</v>
      </c>
      <c r="H18" s="515">
        <v>644</v>
      </c>
      <c r="I18" s="516">
        <v>23</v>
      </c>
      <c r="J18" s="516">
        <v>0</v>
      </c>
      <c r="K18" s="517">
        <v>1</v>
      </c>
      <c r="L18" s="495">
        <f t="shared" si="1"/>
        <v>668</v>
      </c>
      <c r="M18" s="495">
        <f t="shared" si="2"/>
        <v>0</v>
      </c>
      <c r="N18" s="8"/>
    </row>
    <row r="19" spans="1:14" x14ac:dyDescent="0.2">
      <c r="A19" s="8">
        <v>9</v>
      </c>
      <c r="B19" s="176" t="s">
        <v>904</v>
      </c>
      <c r="C19" s="495">
        <v>1287</v>
      </c>
      <c r="D19" s="496">
        <v>3</v>
      </c>
      <c r="E19" s="496">
        <v>0</v>
      </c>
      <c r="F19" s="497">
        <v>3</v>
      </c>
      <c r="G19" s="495">
        <f t="shared" si="0"/>
        <v>1293</v>
      </c>
      <c r="H19" s="515">
        <v>1287</v>
      </c>
      <c r="I19" s="516">
        <v>3</v>
      </c>
      <c r="J19" s="516">
        <v>0</v>
      </c>
      <c r="K19" s="517">
        <v>3</v>
      </c>
      <c r="L19" s="495">
        <f t="shared" si="1"/>
        <v>1293</v>
      </c>
      <c r="M19" s="495">
        <f t="shared" si="2"/>
        <v>0</v>
      </c>
      <c r="N19" s="8"/>
    </row>
    <row r="20" spans="1:14" x14ac:dyDescent="0.2">
      <c r="A20" s="8">
        <v>10</v>
      </c>
      <c r="B20" s="176" t="s">
        <v>905</v>
      </c>
      <c r="C20" s="495">
        <v>394</v>
      </c>
      <c r="D20" s="496">
        <v>6</v>
      </c>
      <c r="E20" s="496">
        <v>0</v>
      </c>
      <c r="F20" s="497">
        <v>0</v>
      </c>
      <c r="G20" s="495">
        <f t="shared" si="0"/>
        <v>400</v>
      </c>
      <c r="H20" s="515">
        <v>394</v>
      </c>
      <c r="I20" s="516">
        <v>6</v>
      </c>
      <c r="J20" s="516">
        <v>0</v>
      </c>
      <c r="K20" s="517">
        <v>0</v>
      </c>
      <c r="L20" s="495">
        <f t="shared" si="1"/>
        <v>400</v>
      </c>
      <c r="M20" s="495">
        <f t="shared" si="2"/>
        <v>0</v>
      </c>
      <c r="N20" s="8"/>
    </row>
    <row r="21" spans="1:14" x14ac:dyDescent="0.2">
      <c r="A21" s="8">
        <v>11</v>
      </c>
      <c r="B21" s="176" t="s">
        <v>906</v>
      </c>
      <c r="C21" s="495">
        <v>435</v>
      </c>
      <c r="D21" s="496">
        <v>4</v>
      </c>
      <c r="E21" s="496">
        <v>0</v>
      </c>
      <c r="F21" s="497">
        <v>1</v>
      </c>
      <c r="G21" s="495">
        <f t="shared" si="0"/>
        <v>440</v>
      </c>
      <c r="H21" s="515">
        <v>435</v>
      </c>
      <c r="I21" s="516">
        <v>4</v>
      </c>
      <c r="J21" s="516">
        <v>0</v>
      </c>
      <c r="K21" s="517">
        <v>1</v>
      </c>
      <c r="L21" s="495">
        <f t="shared" si="1"/>
        <v>440</v>
      </c>
      <c r="M21" s="495">
        <f t="shared" si="2"/>
        <v>0</v>
      </c>
      <c r="N21" s="8"/>
    </row>
    <row r="22" spans="1:14" x14ac:dyDescent="0.2">
      <c r="A22" s="8">
        <v>12</v>
      </c>
      <c r="B22" s="269" t="s">
        <v>907</v>
      </c>
      <c r="C22" s="495">
        <v>555</v>
      </c>
      <c r="D22" s="496">
        <v>9</v>
      </c>
      <c r="E22" s="496">
        <v>0</v>
      </c>
      <c r="F22" s="497">
        <v>6</v>
      </c>
      <c r="G22" s="495">
        <f t="shared" si="0"/>
        <v>570</v>
      </c>
      <c r="H22" s="515">
        <v>555</v>
      </c>
      <c r="I22" s="516">
        <v>9</v>
      </c>
      <c r="J22" s="516">
        <v>0</v>
      </c>
      <c r="K22" s="517">
        <v>6</v>
      </c>
      <c r="L22" s="495">
        <f t="shared" si="1"/>
        <v>570</v>
      </c>
      <c r="M22" s="495">
        <f t="shared" si="2"/>
        <v>0</v>
      </c>
      <c r="N22" s="8"/>
    </row>
    <row r="23" spans="1:14" x14ac:dyDescent="0.2">
      <c r="A23" s="8">
        <v>13</v>
      </c>
      <c r="B23" s="176" t="s">
        <v>908</v>
      </c>
      <c r="C23" s="495">
        <v>238</v>
      </c>
      <c r="D23" s="496">
        <v>1</v>
      </c>
      <c r="E23" s="496">
        <v>0</v>
      </c>
      <c r="F23" s="497">
        <v>1</v>
      </c>
      <c r="G23" s="495">
        <f t="shared" si="0"/>
        <v>240</v>
      </c>
      <c r="H23" s="515">
        <v>238</v>
      </c>
      <c r="I23" s="516">
        <v>1</v>
      </c>
      <c r="J23" s="516">
        <v>0</v>
      </c>
      <c r="K23" s="517">
        <v>1</v>
      </c>
      <c r="L23" s="495">
        <f t="shared" si="1"/>
        <v>240</v>
      </c>
      <c r="M23" s="495">
        <f t="shared" si="2"/>
        <v>0</v>
      </c>
      <c r="N23" s="8"/>
    </row>
    <row r="24" spans="1:14" x14ac:dyDescent="0.2">
      <c r="A24" s="8">
        <v>14</v>
      </c>
      <c r="B24" s="176" t="s">
        <v>909</v>
      </c>
      <c r="C24" s="495">
        <v>288</v>
      </c>
      <c r="D24" s="496">
        <v>3</v>
      </c>
      <c r="E24" s="496">
        <v>0</v>
      </c>
      <c r="F24" s="497">
        <v>5</v>
      </c>
      <c r="G24" s="495">
        <f t="shared" si="0"/>
        <v>296</v>
      </c>
      <c r="H24" s="515">
        <v>288</v>
      </c>
      <c r="I24" s="516">
        <v>3</v>
      </c>
      <c r="J24" s="516">
        <v>0</v>
      </c>
      <c r="K24" s="517">
        <v>5</v>
      </c>
      <c r="L24" s="495">
        <f t="shared" si="1"/>
        <v>296</v>
      </c>
      <c r="M24" s="495">
        <f t="shared" si="2"/>
        <v>0</v>
      </c>
      <c r="N24" s="8"/>
    </row>
    <row r="25" spans="1:14" x14ac:dyDescent="0.2">
      <c r="A25" s="8">
        <v>15</v>
      </c>
      <c r="B25" s="176" t="s">
        <v>910</v>
      </c>
      <c r="C25" s="496">
        <v>638</v>
      </c>
      <c r="D25" s="496">
        <v>1</v>
      </c>
      <c r="E25" s="496">
        <v>0</v>
      </c>
      <c r="F25" s="497">
        <v>3</v>
      </c>
      <c r="G25" s="495">
        <f t="shared" si="0"/>
        <v>642</v>
      </c>
      <c r="H25" s="516">
        <v>638</v>
      </c>
      <c r="I25" s="516">
        <v>1</v>
      </c>
      <c r="J25" s="516">
        <v>0</v>
      </c>
      <c r="K25" s="517">
        <v>3</v>
      </c>
      <c r="L25" s="495">
        <f t="shared" si="1"/>
        <v>642</v>
      </c>
      <c r="M25" s="495">
        <f t="shared" si="2"/>
        <v>0</v>
      </c>
      <c r="N25" s="8"/>
    </row>
    <row r="26" spans="1:14" x14ac:dyDescent="0.2">
      <c r="A26" s="8">
        <v>16</v>
      </c>
      <c r="B26" s="176" t="s">
        <v>911</v>
      </c>
      <c r="C26" s="496">
        <v>1205</v>
      </c>
      <c r="D26" s="496">
        <v>22</v>
      </c>
      <c r="E26" s="496">
        <v>0</v>
      </c>
      <c r="F26" s="497">
        <v>7</v>
      </c>
      <c r="G26" s="495">
        <f t="shared" si="0"/>
        <v>1234</v>
      </c>
      <c r="H26" s="516">
        <v>1205</v>
      </c>
      <c r="I26" s="516">
        <v>22</v>
      </c>
      <c r="J26" s="516">
        <v>0</v>
      </c>
      <c r="K26" s="517">
        <v>7</v>
      </c>
      <c r="L26" s="495">
        <f t="shared" si="1"/>
        <v>1234</v>
      </c>
      <c r="M26" s="495">
        <f t="shared" si="2"/>
        <v>0</v>
      </c>
      <c r="N26" s="8"/>
    </row>
    <row r="27" spans="1:14" x14ac:dyDescent="0.2">
      <c r="A27" s="8">
        <v>17</v>
      </c>
      <c r="B27" s="176" t="s">
        <v>912</v>
      </c>
      <c r="C27" s="496">
        <v>587</v>
      </c>
      <c r="D27" s="496">
        <v>12</v>
      </c>
      <c r="E27" s="496">
        <v>0</v>
      </c>
      <c r="F27" s="497">
        <v>2</v>
      </c>
      <c r="G27" s="495">
        <f t="shared" si="0"/>
        <v>601</v>
      </c>
      <c r="H27" s="516">
        <v>587</v>
      </c>
      <c r="I27" s="516">
        <v>12</v>
      </c>
      <c r="J27" s="516">
        <v>0</v>
      </c>
      <c r="K27" s="517">
        <v>2</v>
      </c>
      <c r="L27" s="495">
        <f t="shared" si="1"/>
        <v>601</v>
      </c>
      <c r="M27" s="495">
        <f t="shared" si="2"/>
        <v>0</v>
      </c>
      <c r="N27" s="8"/>
    </row>
    <row r="28" spans="1:14" x14ac:dyDescent="0.2">
      <c r="A28" s="8">
        <v>18</v>
      </c>
      <c r="B28" s="176" t="s">
        <v>913</v>
      </c>
      <c r="C28" s="496">
        <v>529</v>
      </c>
      <c r="D28" s="496">
        <v>1</v>
      </c>
      <c r="E28" s="496">
        <v>0</v>
      </c>
      <c r="F28" s="497">
        <v>0</v>
      </c>
      <c r="G28" s="495">
        <f t="shared" si="0"/>
        <v>530</v>
      </c>
      <c r="H28" s="516">
        <v>529</v>
      </c>
      <c r="I28" s="516">
        <v>1</v>
      </c>
      <c r="J28" s="516">
        <v>0</v>
      </c>
      <c r="K28" s="517">
        <v>0</v>
      </c>
      <c r="L28" s="495">
        <f t="shared" si="1"/>
        <v>530</v>
      </c>
      <c r="M28" s="495">
        <f t="shared" si="2"/>
        <v>0</v>
      </c>
      <c r="N28" s="8"/>
    </row>
    <row r="29" spans="1:14" x14ac:dyDescent="0.2">
      <c r="A29" s="8">
        <v>19</v>
      </c>
      <c r="B29" s="176" t="s">
        <v>914</v>
      </c>
      <c r="C29" s="496">
        <v>795</v>
      </c>
      <c r="D29" s="496">
        <v>5</v>
      </c>
      <c r="E29" s="496">
        <v>0</v>
      </c>
      <c r="F29" s="497">
        <v>2</v>
      </c>
      <c r="G29" s="495">
        <f t="shared" si="0"/>
        <v>802</v>
      </c>
      <c r="H29" s="516">
        <v>795</v>
      </c>
      <c r="I29" s="516">
        <v>5</v>
      </c>
      <c r="J29" s="516">
        <v>0</v>
      </c>
      <c r="K29" s="517">
        <v>2</v>
      </c>
      <c r="L29" s="495">
        <f t="shared" si="1"/>
        <v>802</v>
      </c>
      <c r="M29" s="495">
        <f t="shared" si="2"/>
        <v>0</v>
      </c>
      <c r="N29" s="8"/>
    </row>
    <row r="30" spans="1:14" x14ac:dyDescent="0.2">
      <c r="A30" s="8">
        <v>20</v>
      </c>
      <c r="B30" s="176" t="s">
        <v>915</v>
      </c>
      <c r="C30" s="496">
        <v>410</v>
      </c>
      <c r="D30" s="496">
        <v>1</v>
      </c>
      <c r="E30" s="496">
        <v>0</v>
      </c>
      <c r="F30" s="497">
        <v>2</v>
      </c>
      <c r="G30" s="495">
        <f t="shared" si="0"/>
        <v>413</v>
      </c>
      <c r="H30" s="516">
        <v>410</v>
      </c>
      <c r="I30" s="516">
        <v>1</v>
      </c>
      <c r="J30" s="516">
        <v>0</v>
      </c>
      <c r="K30" s="517">
        <v>2</v>
      </c>
      <c r="L30" s="495">
        <f t="shared" si="1"/>
        <v>413</v>
      </c>
      <c r="M30" s="495">
        <f t="shared" si="2"/>
        <v>0</v>
      </c>
      <c r="N30" s="8"/>
    </row>
    <row r="31" spans="1:14" x14ac:dyDescent="0.2">
      <c r="A31" s="8">
        <v>21</v>
      </c>
      <c r="B31" s="176" t="s">
        <v>916</v>
      </c>
      <c r="C31" s="496">
        <v>466</v>
      </c>
      <c r="D31" s="496">
        <v>7</v>
      </c>
      <c r="E31" s="496">
        <v>0</v>
      </c>
      <c r="F31" s="497">
        <v>43</v>
      </c>
      <c r="G31" s="495">
        <f t="shared" si="0"/>
        <v>516</v>
      </c>
      <c r="H31" s="516">
        <v>466</v>
      </c>
      <c r="I31" s="516">
        <v>7</v>
      </c>
      <c r="J31" s="516">
        <v>0</v>
      </c>
      <c r="K31" s="517">
        <v>43</v>
      </c>
      <c r="L31" s="495">
        <f t="shared" si="1"/>
        <v>516</v>
      </c>
      <c r="M31" s="495">
        <f t="shared" si="2"/>
        <v>0</v>
      </c>
      <c r="N31" s="8"/>
    </row>
    <row r="32" spans="1:14" x14ac:dyDescent="0.2">
      <c r="A32" s="8">
        <v>22</v>
      </c>
      <c r="B32" s="176" t="s">
        <v>917</v>
      </c>
      <c r="C32" s="496">
        <v>343</v>
      </c>
      <c r="D32" s="496">
        <v>5</v>
      </c>
      <c r="E32" s="496">
        <v>0</v>
      </c>
      <c r="F32" s="497">
        <v>27</v>
      </c>
      <c r="G32" s="495">
        <f t="shared" si="0"/>
        <v>375</v>
      </c>
      <c r="H32" s="509">
        <v>343</v>
      </c>
      <c r="I32" s="509">
        <v>5</v>
      </c>
      <c r="J32" s="509">
        <v>0</v>
      </c>
      <c r="K32" s="509">
        <v>27</v>
      </c>
      <c r="L32" s="495">
        <f t="shared" si="1"/>
        <v>375</v>
      </c>
      <c r="M32" s="495">
        <f t="shared" si="2"/>
        <v>0</v>
      </c>
      <c r="N32" s="8"/>
    </row>
    <row r="33" spans="1:14" x14ac:dyDescent="0.2">
      <c r="A33" s="8">
        <v>23</v>
      </c>
      <c r="B33" s="176" t="s">
        <v>918</v>
      </c>
      <c r="C33" s="496">
        <v>544</v>
      </c>
      <c r="D33" s="496">
        <v>3</v>
      </c>
      <c r="E33" s="496">
        <v>0</v>
      </c>
      <c r="F33" s="497">
        <v>67</v>
      </c>
      <c r="G33" s="495">
        <f t="shared" si="0"/>
        <v>614</v>
      </c>
      <c r="H33" s="516">
        <v>544</v>
      </c>
      <c r="I33" s="516">
        <v>3</v>
      </c>
      <c r="J33" s="516">
        <v>0</v>
      </c>
      <c r="K33" s="517">
        <v>67</v>
      </c>
      <c r="L33" s="495">
        <f t="shared" si="1"/>
        <v>614</v>
      </c>
      <c r="M33" s="495">
        <f t="shared" si="2"/>
        <v>0</v>
      </c>
      <c r="N33" s="8"/>
    </row>
    <row r="34" spans="1:14" x14ac:dyDescent="0.2">
      <c r="A34" s="8">
        <v>24</v>
      </c>
      <c r="B34" s="176" t="s">
        <v>919</v>
      </c>
      <c r="C34" s="496">
        <v>626</v>
      </c>
      <c r="D34" s="496">
        <v>5</v>
      </c>
      <c r="E34" s="496">
        <v>0</v>
      </c>
      <c r="F34" s="497">
        <v>2</v>
      </c>
      <c r="G34" s="495">
        <f t="shared" si="0"/>
        <v>633</v>
      </c>
      <c r="H34" s="516">
        <v>626</v>
      </c>
      <c r="I34" s="516">
        <v>5</v>
      </c>
      <c r="J34" s="516">
        <v>0</v>
      </c>
      <c r="K34" s="517">
        <v>2</v>
      </c>
      <c r="L34" s="495">
        <f t="shared" si="1"/>
        <v>633</v>
      </c>
      <c r="M34" s="495">
        <f t="shared" si="2"/>
        <v>0</v>
      </c>
      <c r="N34" s="8"/>
    </row>
    <row r="35" spans="1:14" s="14" customFormat="1" x14ac:dyDescent="0.2">
      <c r="A35" s="798" t="s">
        <v>18</v>
      </c>
      <c r="B35" s="800"/>
      <c r="C35" s="27">
        <f t="shared" ref="C35:M35" si="3">SUM(C11:C34)</f>
        <v>13094</v>
      </c>
      <c r="D35" s="27">
        <f t="shared" si="3"/>
        <v>370</v>
      </c>
      <c r="E35" s="27">
        <f t="shared" si="3"/>
        <v>0</v>
      </c>
      <c r="F35" s="27">
        <f t="shared" si="3"/>
        <v>176</v>
      </c>
      <c r="G35" s="27">
        <f t="shared" si="3"/>
        <v>13640</v>
      </c>
      <c r="H35" s="27">
        <f t="shared" si="3"/>
        <v>13094</v>
      </c>
      <c r="I35" s="27">
        <f t="shared" si="3"/>
        <v>370</v>
      </c>
      <c r="J35" s="27">
        <f t="shared" si="3"/>
        <v>0</v>
      </c>
      <c r="K35" s="27">
        <f t="shared" si="3"/>
        <v>176</v>
      </c>
      <c r="L35" s="27">
        <f t="shared" si="3"/>
        <v>13640</v>
      </c>
      <c r="M35" s="27">
        <f t="shared" si="3"/>
        <v>0</v>
      </c>
      <c r="N35" s="3"/>
    </row>
    <row r="36" spans="1:14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">
      <c r="A37" s="10" t="s">
        <v>7</v>
      </c>
    </row>
    <row r="38" spans="1:14" x14ac:dyDescent="0.2">
      <c r="A38" t="s">
        <v>8</v>
      </c>
    </row>
    <row r="39" spans="1:14" x14ac:dyDescent="0.2">
      <c r="A39" t="s">
        <v>9</v>
      </c>
      <c r="L39" s="11" t="s">
        <v>10</v>
      </c>
      <c r="M39" s="11"/>
      <c r="N39" s="11" t="s">
        <v>10</v>
      </c>
    </row>
    <row r="40" spans="1:14" x14ac:dyDescent="0.2">
      <c r="A40" s="15" t="s">
        <v>425</v>
      </c>
      <c r="J40" s="11"/>
      <c r="K40" s="11"/>
      <c r="L40" s="11"/>
    </row>
    <row r="41" spans="1:14" x14ac:dyDescent="0.2">
      <c r="C41" s="15" t="s">
        <v>426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4" x14ac:dyDescent="0.2"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"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.75" customHeight="1" x14ac:dyDescent="0.25">
      <c r="A44" s="13" t="s">
        <v>11</v>
      </c>
      <c r="B44" s="13"/>
      <c r="C44" s="13"/>
      <c r="D44" s="13"/>
      <c r="E44" s="13"/>
      <c r="F44" s="13"/>
      <c r="G44" s="13"/>
      <c r="H44" s="13"/>
      <c r="L44" s="929" t="s">
        <v>12</v>
      </c>
      <c r="M44" s="929"/>
      <c r="N44" s="668"/>
    </row>
    <row r="45" spans="1:14" ht="15.75" customHeight="1" x14ac:dyDescent="0.2">
      <c r="A45" s="923" t="s">
        <v>13</v>
      </c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</row>
    <row r="46" spans="1:14" ht="15.75" x14ac:dyDescent="0.2">
      <c r="A46" s="923" t="s">
        <v>14</v>
      </c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</row>
    <row r="47" spans="1:14" x14ac:dyDescent="0.2">
      <c r="J47" s="14"/>
      <c r="K47" s="14" t="s">
        <v>84</v>
      </c>
      <c r="L47" s="820"/>
      <c r="M47" s="820"/>
      <c r="N47" s="820"/>
    </row>
    <row r="48" spans="1:14" x14ac:dyDescent="0.2">
      <c r="A48" s="922"/>
      <c r="B48" s="922"/>
      <c r="C48" s="922"/>
      <c r="D48" s="922"/>
      <c r="E48" s="922"/>
      <c r="F48" s="922"/>
      <c r="G48" s="922"/>
      <c r="H48" s="922"/>
      <c r="I48" s="922"/>
      <c r="J48" s="922"/>
      <c r="K48" s="922"/>
      <c r="L48" s="922"/>
      <c r="M48" s="922"/>
      <c r="N48" s="922"/>
    </row>
  </sheetData>
  <mergeCells count="18">
    <mergeCell ref="D1:J1"/>
    <mergeCell ref="A2:N2"/>
    <mergeCell ref="A3:N3"/>
    <mergeCell ref="A5:N5"/>
    <mergeCell ref="L7:N7"/>
    <mergeCell ref="A7:B7"/>
    <mergeCell ref="A48:N48"/>
    <mergeCell ref="A45:N45"/>
    <mergeCell ref="M8:M9"/>
    <mergeCell ref="N8:N9"/>
    <mergeCell ref="L47:N47"/>
    <mergeCell ref="A46:N46"/>
    <mergeCell ref="A8:A9"/>
    <mergeCell ref="B8:B9"/>
    <mergeCell ref="C8:G8"/>
    <mergeCell ref="A35:B35"/>
    <mergeCell ref="H8:L8"/>
    <mergeCell ref="L44:M44"/>
  </mergeCells>
  <phoneticPr fontId="0" type="noConversion"/>
  <printOptions horizontalCentered="1"/>
  <pageMargins left="0.32" right="0.17" top="0.23622047244094491" bottom="0" header="0.31496062992125984" footer="0.17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8"/>
  <sheetViews>
    <sheetView topLeftCell="A7" zoomScaleNormal="100" zoomScaleSheetLayoutView="80" workbookViewId="0">
      <selection activeCell="C29" sqref="C29"/>
    </sheetView>
  </sheetViews>
  <sheetFormatPr defaultRowHeight="12.75" x14ac:dyDescent="0.2"/>
  <cols>
    <col min="2" max="2" width="15.42578125" bestFit="1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0.140625" customWidth="1"/>
    <col min="12" max="12" width="9.42578125" customWidth="1"/>
    <col min="13" max="13" width="12" customWidth="1"/>
    <col min="14" max="14" width="26.5703125" customWidth="1"/>
  </cols>
  <sheetData>
    <row r="1" spans="1:19" ht="12.75" customHeight="1" x14ac:dyDescent="0.2">
      <c r="D1" s="853"/>
      <c r="E1" s="853"/>
      <c r="F1" s="853"/>
      <c r="G1" s="853"/>
      <c r="H1" s="853"/>
      <c r="I1" s="853"/>
      <c r="J1" s="853"/>
      <c r="M1" s="94"/>
      <c r="N1" s="669" t="s">
        <v>247</v>
      </c>
    </row>
    <row r="2" spans="1:19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</row>
    <row r="3" spans="1:19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</row>
    <row r="4" spans="1:19" ht="11.25" customHeight="1" x14ac:dyDescent="0.2"/>
    <row r="5" spans="1:19" ht="15.75" x14ac:dyDescent="0.25">
      <c r="A5" s="852" t="s">
        <v>795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</row>
    <row r="7" spans="1:19" x14ac:dyDescent="0.2">
      <c r="A7" s="820" t="s">
        <v>920</v>
      </c>
      <c r="B7" s="820"/>
      <c r="L7" s="927" t="s">
        <v>830</v>
      </c>
      <c r="M7" s="927"/>
      <c r="N7" s="927"/>
      <c r="O7" s="99"/>
    </row>
    <row r="8" spans="1:19" ht="15.75" customHeight="1" x14ac:dyDescent="0.2">
      <c r="A8" s="818" t="s">
        <v>2</v>
      </c>
      <c r="B8" s="818" t="s">
        <v>3</v>
      </c>
      <c r="C8" s="802" t="s">
        <v>4</v>
      </c>
      <c r="D8" s="802"/>
      <c r="E8" s="802"/>
      <c r="F8" s="798"/>
      <c r="G8" s="798"/>
      <c r="H8" s="802" t="s">
        <v>104</v>
      </c>
      <c r="I8" s="802"/>
      <c r="J8" s="802"/>
      <c r="K8" s="802"/>
      <c r="L8" s="802"/>
      <c r="M8" s="818" t="s">
        <v>129</v>
      </c>
      <c r="N8" s="834" t="s">
        <v>130</v>
      </c>
    </row>
    <row r="9" spans="1:19" ht="51" x14ac:dyDescent="0.2">
      <c r="A9" s="819"/>
      <c r="B9" s="819"/>
      <c r="C9" s="5" t="s">
        <v>5</v>
      </c>
      <c r="D9" s="5" t="s">
        <v>6</v>
      </c>
      <c r="E9" s="5" t="s">
        <v>353</v>
      </c>
      <c r="F9" s="5" t="s">
        <v>102</v>
      </c>
      <c r="G9" s="5" t="s">
        <v>116</v>
      </c>
      <c r="H9" s="5" t="s">
        <v>5</v>
      </c>
      <c r="I9" s="5" t="s">
        <v>6</v>
      </c>
      <c r="J9" s="5" t="s">
        <v>353</v>
      </c>
      <c r="K9" s="7" t="s">
        <v>102</v>
      </c>
      <c r="L9" s="7" t="s">
        <v>117</v>
      </c>
      <c r="M9" s="819"/>
      <c r="N9" s="834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98">
        <v>12</v>
      </c>
      <c r="M10" s="98">
        <v>13</v>
      </c>
      <c r="N10" s="3">
        <v>14</v>
      </c>
    </row>
    <row r="11" spans="1:19" x14ac:dyDescent="0.2">
      <c r="A11" s="8">
        <v>1</v>
      </c>
      <c r="B11" s="176" t="s">
        <v>896</v>
      </c>
      <c r="C11" s="493">
        <v>22</v>
      </c>
      <c r="D11" s="376">
        <v>28</v>
      </c>
      <c r="E11" s="376">
        <v>0</v>
      </c>
      <c r="F11" s="376">
        <v>0</v>
      </c>
      <c r="G11" s="493">
        <f>SUM(C11:F11)</f>
        <v>50</v>
      </c>
      <c r="H11" s="511">
        <v>22</v>
      </c>
      <c r="I11" s="512">
        <v>28</v>
      </c>
      <c r="J11" s="512">
        <v>0</v>
      </c>
      <c r="K11" s="512">
        <v>0</v>
      </c>
      <c r="L11" s="498">
        <f>SUM(H11:K11)</f>
        <v>50</v>
      </c>
      <c r="M11" s="498">
        <f>G11-L11</f>
        <v>0</v>
      </c>
      <c r="N11" s="17"/>
    </row>
    <row r="12" spans="1:19" s="507" customFormat="1" x14ac:dyDescent="0.2">
      <c r="A12" s="503">
        <v>2</v>
      </c>
      <c r="B12" s="504" t="s">
        <v>897</v>
      </c>
      <c r="C12" s="493">
        <v>5</v>
      </c>
      <c r="D12" s="505">
        <v>14</v>
      </c>
      <c r="E12" s="505">
        <v>0</v>
      </c>
      <c r="F12" s="505">
        <v>0</v>
      </c>
      <c r="G12" s="493">
        <f t="shared" ref="G12:G34" si="0">SUM(C12:F12)</f>
        <v>19</v>
      </c>
      <c r="H12" s="511">
        <v>5</v>
      </c>
      <c r="I12" s="518">
        <v>14</v>
      </c>
      <c r="J12" s="518">
        <v>0</v>
      </c>
      <c r="K12" s="518">
        <v>0</v>
      </c>
      <c r="L12" s="498">
        <f t="shared" ref="L12:L34" si="1">SUM(H12:K12)</f>
        <v>19</v>
      </c>
      <c r="M12" s="498">
        <f t="shared" ref="M12:M34" si="2">G12-L12</f>
        <v>0</v>
      </c>
      <c r="N12" s="506"/>
    </row>
    <row r="13" spans="1:19" x14ac:dyDescent="0.2">
      <c r="A13" s="8">
        <v>3</v>
      </c>
      <c r="B13" s="176" t="s">
        <v>898</v>
      </c>
      <c r="C13" s="493">
        <v>4</v>
      </c>
      <c r="D13" s="376">
        <v>2</v>
      </c>
      <c r="E13" s="376">
        <v>0</v>
      </c>
      <c r="F13" s="376">
        <v>0</v>
      </c>
      <c r="G13" s="493">
        <f t="shared" si="0"/>
        <v>6</v>
      </c>
      <c r="H13" s="511">
        <v>4</v>
      </c>
      <c r="I13" s="512">
        <v>2</v>
      </c>
      <c r="J13" s="512">
        <v>0</v>
      </c>
      <c r="K13" s="512">
        <v>0</v>
      </c>
      <c r="L13" s="498">
        <f t="shared" si="1"/>
        <v>6</v>
      </c>
      <c r="M13" s="498">
        <f t="shared" si="2"/>
        <v>0</v>
      </c>
      <c r="N13" s="8"/>
    </row>
    <row r="14" spans="1:19" x14ac:dyDescent="0.2">
      <c r="A14" s="8">
        <v>4</v>
      </c>
      <c r="B14" s="176" t="s">
        <v>899</v>
      </c>
      <c r="C14" s="493">
        <v>16</v>
      </c>
      <c r="D14" s="376">
        <v>21</v>
      </c>
      <c r="E14" s="376">
        <v>0</v>
      </c>
      <c r="F14" s="376">
        <v>0</v>
      </c>
      <c r="G14" s="493">
        <f t="shared" si="0"/>
        <v>37</v>
      </c>
      <c r="H14" s="511">
        <v>16</v>
      </c>
      <c r="I14" s="512">
        <v>21</v>
      </c>
      <c r="J14" s="512">
        <v>0</v>
      </c>
      <c r="K14" s="512">
        <v>0</v>
      </c>
      <c r="L14" s="498">
        <f t="shared" si="1"/>
        <v>37</v>
      </c>
      <c r="M14" s="498">
        <f t="shared" si="2"/>
        <v>0</v>
      </c>
      <c r="N14" s="8"/>
    </row>
    <row r="15" spans="1:19" x14ac:dyDescent="0.2">
      <c r="A15" s="8">
        <v>5</v>
      </c>
      <c r="B15" s="176" t="s">
        <v>900</v>
      </c>
      <c r="C15" s="493">
        <v>22</v>
      </c>
      <c r="D15" s="376">
        <v>16</v>
      </c>
      <c r="E15" s="376">
        <v>0</v>
      </c>
      <c r="F15" s="376">
        <v>0</v>
      </c>
      <c r="G15" s="493">
        <f t="shared" si="0"/>
        <v>38</v>
      </c>
      <c r="H15" s="511">
        <v>22</v>
      </c>
      <c r="I15" s="512">
        <v>16</v>
      </c>
      <c r="J15" s="512">
        <v>0</v>
      </c>
      <c r="K15" s="512">
        <v>0</v>
      </c>
      <c r="L15" s="498">
        <f t="shared" si="1"/>
        <v>38</v>
      </c>
      <c r="M15" s="498">
        <f t="shared" si="2"/>
        <v>0</v>
      </c>
      <c r="N15" s="8"/>
    </row>
    <row r="16" spans="1:19" x14ac:dyDescent="0.2">
      <c r="A16" s="8">
        <v>6</v>
      </c>
      <c r="B16" s="176" t="s">
        <v>901</v>
      </c>
      <c r="C16" s="493">
        <v>13</v>
      </c>
      <c r="D16" s="376">
        <v>16</v>
      </c>
      <c r="E16" s="376">
        <v>0</v>
      </c>
      <c r="F16" s="376">
        <v>0</v>
      </c>
      <c r="G16" s="493">
        <f t="shared" si="0"/>
        <v>29</v>
      </c>
      <c r="H16" s="511">
        <v>13</v>
      </c>
      <c r="I16" s="512">
        <v>16</v>
      </c>
      <c r="J16" s="512">
        <v>0</v>
      </c>
      <c r="K16" s="512">
        <v>0</v>
      </c>
      <c r="L16" s="498">
        <f t="shared" si="1"/>
        <v>29</v>
      </c>
      <c r="M16" s="498">
        <f t="shared" si="2"/>
        <v>0</v>
      </c>
      <c r="N16" s="8"/>
    </row>
    <row r="17" spans="1:14" x14ac:dyDescent="0.2">
      <c r="A17" s="8">
        <v>7</v>
      </c>
      <c r="B17" s="176" t="s">
        <v>902</v>
      </c>
      <c r="C17" s="493">
        <v>9</v>
      </c>
      <c r="D17" s="376">
        <v>0</v>
      </c>
      <c r="E17" s="376">
        <v>0</v>
      </c>
      <c r="F17" s="376">
        <v>0</v>
      </c>
      <c r="G17" s="493">
        <f t="shared" si="0"/>
        <v>9</v>
      </c>
      <c r="H17" s="511">
        <v>9</v>
      </c>
      <c r="I17" s="512">
        <v>0</v>
      </c>
      <c r="J17" s="512">
        <v>0</v>
      </c>
      <c r="K17" s="512">
        <v>0</v>
      </c>
      <c r="L17" s="498">
        <f t="shared" si="1"/>
        <v>9</v>
      </c>
      <c r="M17" s="498">
        <f t="shared" si="2"/>
        <v>0</v>
      </c>
      <c r="N17" s="8"/>
    </row>
    <row r="18" spans="1:14" x14ac:dyDescent="0.2">
      <c r="A18" s="8">
        <v>8</v>
      </c>
      <c r="B18" s="176" t="s">
        <v>903</v>
      </c>
      <c r="C18" s="493">
        <v>9</v>
      </c>
      <c r="D18" s="376">
        <v>10</v>
      </c>
      <c r="E18" s="376">
        <v>0</v>
      </c>
      <c r="F18" s="376">
        <v>0</v>
      </c>
      <c r="G18" s="493">
        <f t="shared" si="0"/>
        <v>19</v>
      </c>
      <c r="H18" s="511">
        <v>9</v>
      </c>
      <c r="I18" s="512">
        <v>10</v>
      </c>
      <c r="J18" s="512">
        <v>0</v>
      </c>
      <c r="K18" s="512">
        <v>0</v>
      </c>
      <c r="L18" s="498">
        <f t="shared" si="1"/>
        <v>19</v>
      </c>
      <c r="M18" s="498">
        <f t="shared" si="2"/>
        <v>0</v>
      </c>
      <c r="N18" s="8"/>
    </row>
    <row r="19" spans="1:14" x14ac:dyDescent="0.2">
      <c r="A19" s="8">
        <v>9</v>
      </c>
      <c r="B19" s="176" t="s">
        <v>904</v>
      </c>
      <c r="C19" s="493">
        <v>2</v>
      </c>
      <c r="D19" s="376">
        <v>1</v>
      </c>
      <c r="E19" s="376">
        <v>0</v>
      </c>
      <c r="F19" s="376">
        <v>0</v>
      </c>
      <c r="G19" s="493">
        <f t="shared" si="0"/>
        <v>3</v>
      </c>
      <c r="H19" s="511">
        <v>2</v>
      </c>
      <c r="I19" s="512">
        <v>1</v>
      </c>
      <c r="J19" s="512">
        <v>0</v>
      </c>
      <c r="K19" s="512">
        <v>0</v>
      </c>
      <c r="L19" s="498">
        <f t="shared" si="1"/>
        <v>3</v>
      </c>
      <c r="M19" s="498">
        <f t="shared" si="2"/>
        <v>0</v>
      </c>
      <c r="N19" s="8"/>
    </row>
    <row r="20" spans="1:14" x14ac:dyDescent="0.2">
      <c r="A20" s="8">
        <v>10</v>
      </c>
      <c r="B20" s="176" t="s">
        <v>905</v>
      </c>
      <c r="C20" s="493">
        <v>2</v>
      </c>
      <c r="D20" s="376">
        <v>3</v>
      </c>
      <c r="E20" s="376">
        <v>0</v>
      </c>
      <c r="F20" s="376">
        <v>0</v>
      </c>
      <c r="G20" s="493">
        <f t="shared" si="0"/>
        <v>5</v>
      </c>
      <c r="H20" s="511">
        <v>2</v>
      </c>
      <c r="I20" s="512">
        <v>3</v>
      </c>
      <c r="J20" s="512">
        <v>0</v>
      </c>
      <c r="K20" s="512">
        <v>0</v>
      </c>
      <c r="L20" s="498">
        <f t="shared" si="1"/>
        <v>5</v>
      </c>
      <c r="M20" s="498">
        <f t="shared" si="2"/>
        <v>0</v>
      </c>
      <c r="N20" s="8"/>
    </row>
    <row r="21" spans="1:14" x14ac:dyDescent="0.2">
      <c r="A21" s="8">
        <v>11</v>
      </c>
      <c r="B21" s="176" t="s">
        <v>906</v>
      </c>
      <c r="C21" s="493">
        <v>0</v>
      </c>
      <c r="D21" s="376">
        <v>0</v>
      </c>
      <c r="E21" s="376">
        <v>0</v>
      </c>
      <c r="F21" s="376">
        <v>0</v>
      </c>
      <c r="G21" s="493">
        <f t="shared" si="0"/>
        <v>0</v>
      </c>
      <c r="H21" s="511">
        <v>0</v>
      </c>
      <c r="I21" s="512">
        <v>0</v>
      </c>
      <c r="J21" s="512">
        <v>0</v>
      </c>
      <c r="K21" s="512">
        <v>0</v>
      </c>
      <c r="L21" s="498">
        <f t="shared" si="1"/>
        <v>0</v>
      </c>
      <c r="M21" s="498">
        <f t="shared" si="2"/>
        <v>0</v>
      </c>
      <c r="N21" s="8"/>
    </row>
    <row r="22" spans="1:14" x14ac:dyDescent="0.2">
      <c r="A22" s="8">
        <v>12</v>
      </c>
      <c r="B22" s="269" t="s">
        <v>907</v>
      </c>
      <c r="C22" s="493">
        <v>3</v>
      </c>
      <c r="D22" s="376">
        <v>7</v>
      </c>
      <c r="E22" s="376">
        <v>0</v>
      </c>
      <c r="F22" s="376">
        <v>0</v>
      </c>
      <c r="G22" s="493">
        <f t="shared" si="0"/>
        <v>10</v>
      </c>
      <c r="H22" s="511">
        <v>3</v>
      </c>
      <c r="I22" s="512">
        <v>7</v>
      </c>
      <c r="J22" s="512">
        <v>0</v>
      </c>
      <c r="K22" s="512">
        <v>0</v>
      </c>
      <c r="L22" s="498">
        <f t="shared" si="1"/>
        <v>10</v>
      </c>
      <c r="M22" s="498">
        <f t="shared" si="2"/>
        <v>0</v>
      </c>
      <c r="N22" s="8"/>
    </row>
    <row r="23" spans="1:14" x14ac:dyDescent="0.2">
      <c r="A23" s="8">
        <v>13</v>
      </c>
      <c r="B23" s="176" t="s">
        <v>908</v>
      </c>
      <c r="C23" s="493">
        <v>0</v>
      </c>
      <c r="D23" s="376">
        <v>0</v>
      </c>
      <c r="E23" s="376">
        <v>0</v>
      </c>
      <c r="F23" s="376">
        <v>0</v>
      </c>
      <c r="G23" s="493">
        <f t="shared" si="0"/>
        <v>0</v>
      </c>
      <c r="H23" s="511">
        <v>0</v>
      </c>
      <c r="I23" s="512">
        <v>0</v>
      </c>
      <c r="J23" s="512">
        <v>0</v>
      </c>
      <c r="K23" s="512">
        <v>0</v>
      </c>
      <c r="L23" s="498">
        <f t="shared" si="1"/>
        <v>0</v>
      </c>
      <c r="M23" s="498">
        <f t="shared" si="2"/>
        <v>0</v>
      </c>
      <c r="N23" s="8"/>
    </row>
    <row r="24" spans="1:14" x14ac:dyDescent="0.2">
      <c r="A24" s="8">
        <v>14</v>
      </c>
      <c r="B24" s="176" t="s">
        <v>909</v>
      </c>
      <c r="C24" s="376">
        <v>0</v>
      </c>
      <c r="D24" s="376">
        <v>0</v>
      </c>
      <c r="E24" s="376">
        <v>0</v>
      </c>
      <c r="F24" s="376">
        <v>0</v>
      </c>
      <c r="G24" s="493">
        <f t="shared" si="0"/>
        <v>0</v>
      </c>
      <c r="H24" s="512">
        <v>0</v>
      </c>
      <c r="I24" s="512">
        <v>0</v>
      </c>
      <c r="J24" s="512">
        <v>0</v>
      </c>
      <c r="K24" s="512">
        <v>0</v>
      </c>
      <c r="L24" s="498">
        <f t="shared" si="1"/>
        <v>0</v>
      </c>
      <c r="M24" s="498">
        <f t="shared" si="2"/>
        <v>0</v>
      </c>
      <c r="N24" s="8"/>
    </row>
    <row r="25" spans="1:14" x14ac:dyDescent="0.2">
      <c r="A25" s="8">
        <v>15</v>
      </c>
      <c r="B25" s="176" t="s">
        <v>910</v>
      </c>
      <c r="C25" s="376">
        <v>2</v>
      </c>
      <c r="D25" s="376">
        <v>0</v>
      </c>
      <c r="E25" s="376">
        <v>0</v>
      </c>
      <c r="F25" s="376">
        <v>0</v>
      </c>
      <c r="G25" s="493">
        <f t="shared" si="0"/>
        <v>2</v>
      </c>
      <c r="H25" s="512">
        <v>2</v>
      </c>
      <c r="I25" s="512">
        <v>0</v>
      </c>
      <c r="J25" s="512">
        <v>0</v>
      </c>
      <c r="K25" s="512">
        <v>0</v>
      </c>
      <c r="L25" s="498">
        <f t="shared" si="1"/>
        <v>2</v>
      </c>
      <c r="M25" s="498">
        <f t="shared" si="2"/>
        <v>0</v>
      </c>
      <c r="N25" s="8"/>
    </row>
    <row r="26" spans="1:14" x14ac:dyDescent="0.2">
      <c r="A26" s="8">
        <v>16</v>
      </c>
      <c r="B26" s="176" t="s">
        <v>911</v>
      </c>
      <c r="C26" s="376">
        <v>11</v>
      </c>
      <c r="D26" s="376">
        <v>3</v>
      </c>
      <c r="E26" s="376">
        <v>0</v>
      </c>
      <c r="F26" s="376">
        <v>0</v>
      </c>
      <c r="G26" s="493">
        <f t="shared" si="0"/>
        <v>14</v>
      </c>
      <c r="H26" s="512">
        <v>11</v>
      </c>
      <c r="I26" s="512">
        <v>3</v>
      </c>
      <c r="J26" s="512">
        <v>0</v>
      </c>
      <c r="K26" s="512">
        <v>0</v>
      </c>
      <c r="L26" s="498">
        <f t="shared" si="1"/>
        <v>14</v>
      </c>
      <c r="M26" s="498">
        <f t="shared" si="2"/>
        <v>0</v>
      </c>
      <c r="N26" s="8"/>
    </row>
    <row r="27" spans="1:14" x14ac:dyDescent="0.2">
      <c r="A27" s="8">
        <v>17</v>
      </c>
      <c r="B27" s="176" t="s">
        <v>912</v>
      </c>
      <c r="C27" s="376">
        <v>1</v>
      </c>
      <c r="D27" s="376">
        <v>1</v>
      </c>
      <c r="E27" s="376">
        <v>0</v>
      </c>
      <c r="F27" s="376">
        <v>0</v>
      </c>
      <c r="G27" s="493">
        <f t="shared" si="0"/>
        <v>2</v>
      </c>
      <c r="H27" s="512">
        <v>1</v>
      </c>
      <c r="I27" s="512">
        <v>1</v>
      </c>
      <c r="J27" s="512">
        <v>0</v>
      </c>
      <c r="K27" s="512">
        <v>0</v>
      </c>
      <c r="L27" s="498">
        <f t="shared" si="1"/>
        <v>2</v>
      </c>
      <c r="M27" s="498">
        <f t="shared" si="2"/>
        <v>0</v>
      </c>
      <c r="N27" s="8"/>
    </row>
    <row r="28" spans="1:14" x14ac:dyDescent="0.2">
      <c r="A28" s="8">
        <v>18</v>
      </c>
      <c r="B28" s="176" t="s">
        <v>913</v>
      </c>
      <c r="C28" s="376">
        <v>1</v>
      </c>
      <c r="D28" s="376">
        <v>1</v>
      </c>
      <c r="E28" s="376">
        <v>0</v>
      </c>
      <c r="F28" s="376">
        <v>0</v>
      </c>
      <c r="G28" s="493">
        <f t="shared" si="0"/>
        <v>2</v>
      </c>
      <c r="H28" s="512">
        <v>1</v>
      </c>
      <c r="I28" s="512">
        <v>1</v>
      </c>
      <c r="J28" s="512">
        <v>0</v>
      </c>
      <c r="K28" s="512">
        <v>0</v>
      </c>
      <c r="L28" s="498">
        <f t="shared" si="1"/>
        <v>2</v>
      </c>
      <c r="M28" s="498">
        <f t="shared" si="2"/>
        <v>0</v>
      </c>
      <c r="N28" s="8"/>
    </row>
    <row r="29" spans="1:14" x14ac:dyDescent="0.2">
      <c r="A29" s="8">
        <v>19</v>
      </c>
      <c r="B29" s="176" t="s">
        <v>914</v>
      </c>
      <c r="C29" s="376">
        <v>5</v>
      </c>
      <c r="D29" s="376">
        <v>3</v>
      </c>
      <c r="E29" s="376">
        <v>0</v>
      </c>
      <c r="F29" s="376">
        <v>0</v>
      </c>
      <c r="G29" s="493">
        <f t="shared" si="0"/>
        <v>8</v>
      </c>
      <c r="H29" s="512">
        <v>5</v>
      </c>
      <c r="I29" s="512">
        <v>3</v>
      </c>
      <c r="J29" s="512">
        <v>0</v>
      </c>
      <c r="K29" s="512">
        <v>0</v>
      </c>
      <c r="L29" s="498">
        <f t="shared" si="1"/>
        <v>8</v>
      </c>
      <c r="M29" s="498">
        <f t="shared" si="2"/>
        <v>0</v>
      </c>
      <c r="N29" s="8"/>
    </row>
    <row r="30" spans="1:14" x14ac:dyDescent="0.2">
      <c r="A30" s="8">
        <v>20</v>
      </c>
      <c r="B30" s="176" t="s">
        <v>915</v>
      </c>
      <c r="C30" s="376">
        <v>1</v>
      </c>
      <c r="D30" s="376">
        <v>1</v>
      </c>
      <c r="E30" s="376">
        <v>0</v>
      </c>
      <c r="F30" s="376">
        <v>0</v>
      </c>
      <c r="G30" s="493">
        <f t="shared" si="0"/>
        <v>2</v>
      </c>
      <c r="H30" s="512">
        <v>1</v>
      </c>
      <c r="I30" s="512">
        <v>1</v>
      </c>
      <c r="J30" s="512">
        <v>0</v>
      </c>
      <c r="K30" s="512">
        <v>0</v>
      </c>
      <c r="L30" s="498">
        <f t="shared" si="1"/>
        <v>2</v>
      </c>
      <c r="M30" s="498">
        <f t="shared" si="2"/>
        <v>0</v>
      </c>
      <c r="N30" s="8"/>
    </row>
    <row r="31" spans="1:14" x14ac:dyDescent="0.2">
      <c r="A31" s="8">
        <v>21</v>
      </c>
      <c r="B31" s="176" t="s">
        <v>916</v>
      </c>
      <c r="C31" s="376">
        <v>5</v>
      </c>
      <c r="D31" s="376">
        <v>0</v>
      </c>
      <c r="E31" s="376">
        <v>0</v>
      </c>
      <c r="F31" s="376">
        <v>7</v>
      </c>
      <c r="G31" s="493">
        <f t="shared" si="0"/>
        <v>12</v>
      </c>
      <c r="H31" s="512">
        <v>5</v>
      </c>
      <c r="I31" s="512">
        <v>0</v>
      </c>
      <c r="J31" s="512">
        <v>0</v>
      </c>
      <c r="K31" s="512">
        <v>7</v>
      </c>
      <c r="L31" s="498">
        <f t="shared" si="1"/>
        <v>12</v>
      </c>
      <c r="M31" s="501">
        <f t="shared" si="2"/>
        <v>0</v>
      </c>
      <c r="N31" s="8"/>
    </row>
    <row r="32" spans="1:14" x14ac:dyDescent="0.2">
      <c r="A32" s="8">
        <v>22</v>
      </c>
      <c r="B32" s="176" t="s">
        <v>917</v>
      </c>
      <c r="C32" s="376">
        <v>7</v>
      </c>
      <c r="D32" s="376">
        <v>1</v>
      </c>
      <c r="E32" s="376">
        <v>0</v>
      </c>
      <c r="F32" s="376">
        <v>0</v>
      </c>
      <c r="G32" s="493">
        <f t="shared" si="0"/>
        <v>8</v>
      </c>
      <c r="H32" s="512">
        <v>7</v>
      </c>
      <c r="I32" s="512">
        <v>1</v>
      </c>
      <c r="J32" s="512">
        <v>0</v>
      </c>
      <c r="K32" s="512">
        <v>0</v>
      </c>
      <c r="L32" s="498">
        <f t="shared" si="1"/>
        <v>8</v>
      </c>
      <c r="M32" s="498">
        <f t="shared" si="2"/>
        <v>0</v>
      </c>
      <c r="N32" s="8"/>
    </row>
    <row r="33" spans="1:14" x14ac:dyDescent="0.2">
      <c r="A33" s="8">
        <v>23</v>
      </c>
      <c r="B33" s="176" t="s">
        <v>918</v>
      </c>
      <c r="C33" s="376">
        <v>3</v>
      </c>
      <c r="D33" s="376">
        <v>1</v>
      </c>
      <c r="E33" s="376">
        <v>0</v>
      </c>
      <c r="F33" s="376">
        <v>0</v>
      </c>
      <c r="G33" s="493">
        <f t="shared" si="0"/>
        <v>4</v>
      </c>
      <c r="H33" s="512">
        <v>3</v>
      </c>
      <c r="I33" s="512">
        <v>1</v>
      </c>
      <c r="J33" s="512">
        <v>0</v>
      </c>
      <c r="K33" s="512">
        <v>0</v>
      </c>
      <c r="L33" s="498">
        <f t="shared" si="1"/>
        <v>4</v>
      </c>
      <c r="M33" s="498">
        <f t="shared" si="2"/>
        <v>0</v>
      </c>
      <c r="N33" s="8"/>
    </row>
    <row r="34" spans="1:14" x14ac:dyDescent="0.2">
      <c r="A34" s="8">
        <v>24</v>
      </c>
      <c r="B34" s="176" t="s">
        <v>919</v>
      </c>
      <c r="C34" s="376">
        <v>16</v>
      </c>
      <c r="D34" s="376">
        <v>0</v>
      </c>
      <c r="E34" s="376">
        <v>0</v>
      </c>
      <c r="F34" s="376">
        <v>0</v>
      </c>
      <c r="G34" s="493">
        <f t="shared" si="0"/>
        <v>16</v>
      </c>
      <c r="H34" s="512">
        <v>16</v>
      </c>
      <c r="I34" s="512">
        <v>0</v>
      </c>
      <c r="J34" s="512">
        <v>0</v>
      </c>
      <c r="K34" s="512">
        <v>0</v>
      </c>
      <c r="L34" s="498">
        <f t="shared" si="1"/>
        <v>16</v>
      </c>
      <c r="M34" s="498">
        <f t="shared" si="2"/>
        <v>0</v>
      </c>
      <c r="N34" s="8"/>
    </row>
    <row r="35" spans="1:14" s="14" customFormat="1" x14ac:dyDescent="0.2">
      <c r="A35" s="798" t="s">
        <v>18</v>
      </c>
      <c r="B35" s="800"/>
      <c r="C35" s="27">
        <f t="shared" ref="C35:M35" si="3">SUM(C11:C34)</f>
        <v>159</v>
      </c>
      <c r="D35" s="27">
        <f t="shared" si="3"/>
        <v>129</v>
      </c>
      <c r="E35" s="27">
        <f t="shared" si="3"/>
        <v>0</v>
      </c>
      <c r="F35" s="27">
        <f t="shared" si="3"/>
        <v>7</v>
      </c>
      <c r="G35" s="309">
        <f t="shared" si="3"/>
        <v>295</v>
      </c>
      <c r="H35" s="27">
        <f t="shared" si="3"/>
        <v>159</v>
      </c>
      <c r="I35" s="500">
        <f t="shared" si="3"/>
        <v>129</v>
      </c>
      <c r="J35" s="27">
        <f t="shared" si="3"/>
        <v>0</v>
      </c>
      <c r="K35" s="27">
        <f t="shared" si="3"/>
        <v>7</v>
      </c>
      <c r="L35" s="27">
        <f t="shared" si="3"/>
        <v>295</v>
      </c>
      <c r="M35" s="27">
        <f t="shared" si="3"/>
        <v>0</v>
      </c>
      <c r="N35" s="27"/>
    </row>
    <row r="36" spans="1:14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">
      <c r="A37" s="10" t="s">
        <v>7</v>
      </c>
    </row>
    <row r="38" spans="1:14" x14ac:dyDescent="0.2">
      <c r="A38" t="s">
        <v>8</v>
      </c>
    </row>
    <row r="39" spans="1:14" x14ac:dyDescent="0.2">
      <c r="A39" t="s">
        <v>9</v>
      </c>
      <c r="K39" s="11" t="s">
        <v>10</v>
      </c>
      <c r="L39" s="11" t="s">
        <v>10</v>
      </c>
      <c r="M39" s="11"/>
      <c r="N39" s="11" t="s">
        <v>10</v>
      </c>
    </row>
    <row r="40" spans="1:14" x14ac:dyDescent="0.2">
      <c r="A40" s="15" t="s">
        <v>425</v>
      </c>
      <c r="J40" s="11"/>
      <c r="K40" s="11"/>
      <c r="L40" s="11"/>
    </row>
    <row r="41" spans="1:14" x14ac:dyDescent="0.2">
      <c r="C41" s="15" t="s">
        <v>426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4" x14ac:dyDescent="0.2"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"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.75" customHeight="1" x14ac:dyDescent="0.25">
      <c r="A44" s="13" t="s">
        <v>11</v>
      </c>
      <c r="B44" s="13"/>
      <c r="C44" s="13"/>
      <c r="D44" s="13"/>
      <c r="E44" s="13"/>
      <c r="F44" s="13"/>
      <c r="G44" s="13"/>
      <c r="H44" s="13"/>
      <c r="K44" s="14"/>
      <c r="L44" s="925" t="s">
        <v>12</v>
      </c>
      <c r="M44" s="925"/>
      <c r="N44" s="668"/>
    </row>
    <row r="45" spans="1:14" ht="15.75" customHeight="1" x14ac:dyDescent="0.2">
      <c r="A45" s="668"/>
      <c r="B45" s="668"/>
      <c r="C45" s="668"/>
      <c r="D45" s="668"/>
      <c r="E45" s="668"/>
      <c r="F45" s="668"/>
      <c r="G45" s="668"/>
      <c r="H45" s="668"/>
      <c r="I45" s="668"/>
      <c r="J45" s="668"/>
      <c r="K45" s="668"/>
      <c r="L45" s="925" t="s">
        <v>13</v>
      </c>
      <c r="M45" s="925"/>
      <c r="N45" s="925"/>
    </row>
    <row r="46" spans="1:14" ht="15.75" x14ac:dyDescent="0.2">
      <c r="A46" s="923" t="s">
        <v>14</v>
      </c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</row>
    <row r="47" spans="1:14" x14ac:dyDescent="0.2">
      <c r="K47" s="820" t="s">
        <v>84</v>
      </c>
      <c r="L47" s="820"/>
      <c r="M47" s="820"/>
      <c r="N47" s="820"/>
    </row>
    <row r="48" spans="1:14" x14ac:dyDescent="0.2">
      <c r="A48" s="922"/>
      <c r="B48" s="922"/>
      <c r="C48" s="922"/>
      <c r="D48" s="922"/>
      <c r="E48" s="922"/>
      <c r="F48" s="922"/>
      <c r="G48" s="922"/>
      <c r="H48" s="922"/>
      <c r="I48" s="922"/>
      <c r="J48" s="922"/>
      <c r="K48" s="922"/>
      <c r="L48" s="922"/>
      <c r="M48" s="922"/>
      <c r="N48" s="922"/>
    </row>
  </sheetData>
  <mergeCells count="18">
    <mergeCell ref="A35:B35"/>
    <mergeCell ref="A48:N48"/>
    <mergeCell ref="N8:N9"/>
    <mergeCell ref="A46:N46"/>
    <mergeCell ref="K47:N47"/>
    <mergeCell ref="A8:A9"/>
    <mergeCell ref="B8:B9"/>
    <mergeCell ref="C8:G8"/>
    <mergeCell ref="H8:L8"/>
    <mergeCell ref="M8:M9"/>
    <mergeCell ref="L44:M44"/>
    <mergeCell ref="L45:N45"/>
    <mergeCell ref="A7:B7"/>
    <mergeCell ref="D1:J1"/>
    <mergeCell ref="A2:N2"/>
    <mergeCell ref="A3:N3"/>
    <mergeCell ref="A5:N5"/>
    <mergeCell ref="L7:N7"/>
  </mergeCells>
  <phoneticPr fontId="0" type="noConversion"/>
  <printOptions horizontalCentered="1"/>
  <pageMargins left="0.31" right="0.37" top="0.23622047244094491" bottom="0" header="0.18" footer="0.17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46"/>
  <sheetViews>
    <sheetView topLeftCell="A13" zoomScaleNormal="100" zoomScaleSheetLayoutView="100" workbookViewId="0">
      <selection activeCell="L35" sqref="L35"/>
    </sheetView>
  </sheetViews>
  <sheetFormatPr defaultColWidth="9.140625" defaultRowHeight="12.75" x14ac:dyDescent="0.2"/>
  <cols>
    <col min="1" max="1" width="7.140625" style="15" customWidth="1"/>
    <col min="2" max="2" width="15.42578125" style="15" bestFit="1" customWidth="1"/>
    <col min="3" max="3" width="10.28515625" style="15" customWidth="1"/>
    <col min="4" max="4" width="9.28515625" style="15" customWidth="1"/>
    <col min="5" max="6" width="9.140625" style="15"/>
    <col min="7" max="7" width="11.7109375" style="15" customWidth="1"/>
    <col min="8" max="8" width="11" style="15" customWidth="1"/>
    <col min="9" max="9" width="11.42578125" style="15" customWidth="1"/>
    <col min="10" max="10" width="10.5703125" style="15" customWidth="1"/>
    <col min="11" max="12" width="10.7109375" style="15" customWidth="1"/>
    <col min="13" max="16" width="11.7109375" style="15" customWidth="1"/>
    <col min="17" max="17" width="12.42578125" style="15" customWidth="1"/>
    <col min="18" max="22" width="0" style="15" hidden="1" customWidth="1"/>
    <col min="23" max="16384" width="9.140625" style="15"/>
  </cols>
  <sheetData>
    <row r="1" spans="1:21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49" t="s">
        <v>60</v>
      </c>
      <c r="P1" s="849"/>
      <c r="Q1" s="849"/>
    </row>
    <row r="2" spans="1:21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42"/>
      <c r="N2" s="42"/>
      <c r="O2" s="42"/>
      <c r="P2" s="42"/>
    </row>
    <row r="3" spans="1:21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41"/>
      <c r="N3" s="41"/>
      <c r="O3" s="41"/>
      <c r="P3" s="41"/>
    </row>
    <row r="4" spans="1:21" customFormat="1" ht="11.25" customHeight="1" x14ac:dyDescent="0.2"/>
    <row r="5" spans="1:21" customFormat="1" ht="15.75" customHeight="1" x14ac:dyDescent="0.25">
      <c r="A5" s="931" t="s">
        <v>796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15"/>
    </row>
    <row r="7" spans="1:21" ht="17.45" customHeight="1" x14ac:dyDescent="0.2">
      <c r="A7" s="820" t="s">
        <v>920</v>
      </c>
      <c r="B7" s="820"/>
      <c r="N7" s="921" t="s">
        <v>830</v>
      </c>
      <c r="O7" s="921"/>
      <c r="P7" s="921"/>
      <c r="Q7" s="921"/>
    </row>
    <row r="8" spans="1:21" ht="24" customHeight="1" x14ac:dyDescent="0.2">
      <c r="A8" s="834" t="s">
        <v>2</v>
      </c>
      <c r="B8" s="834" t="s">
        <v>3</v>
      </c>
      <c r="C8" s="846" t="s">
        <v>759</v>
      </c>
      <c r="D8" s="846"/>
      <c r="E8" s="846"/>
      <c r="F8" s="846"/>
      <c r="G8" s="846"/>
      <c r="H8" s="933" t="s">
        <v>629</v>
      </c>
      <c r="I8" s="846"/>
      <c r="J8" s="846"/>
      <c r="K8" s="846"/>
      <c r="L8" s="846"/>
      <c r="M8" s="934" t="s">
        <v>112</v>
      </c>
      <c r="N8" s="935"/>
      <c r="O8" s="935"/>
      <c r="P8" s="935"/>
      <c r="Q8" s="936"/>
    </row>
    <row r="9" spans="1:21" s="14" customFormat="1" ht="60" customHeight="1" x14ac:dyDescent="0.2">
      <c r="A9" s="834"/>
      <c r="B9" s="834"/>
      <c r="C9" s="5" t="s">
        <v>207</v>
      </c>
      <c r="D9" s="5" t="s">
        <v>208</v>
      </c>
      <c r="E9" s="5" t="s">
        <v>353</v>
      </c>
      <c r="F9" s="5" t="s">
        <v>214</v>
      </c>
      <c r="G9" s="5" t="s">
        <v>116</v>
      </c>
      <c r="H9" s="93" t="s">
        <v>207</v>
      </c>
      <c r="I9" s="5" t="s">
        <v>208</v>
      </c>
      <c r="J9" s="5" t="s">
        <v>353</v>
      </c>
      <c r="K9" s="7" t="s">
        <v>214</v>
      </c>
      <c r="L9" s="5" t="s">
        <v>356</v>
      </c>
      <c r="M9" s="5" t="s">
        <v>207</v>
      </c>
      <c r="N9" s="5" t="s">
        <v>208</v>
      </c>
      <c r="O9" s="5" t="s">
        <v>353</v>
      </c>
      <c r="P9" s="7" t="s">
        <v>214</v>
      </c>
      <c r="Q9" s="5" t="s">
        <v>118</v>
      </c>
      <c r="R9" s="28"/>
    </row>
    <row r="10" spans="1:21" s="62" customFormat="1" x14ac:dyDescent="0.2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</row>
    <row r="11" spans="1:21" x14ac:dyDescent="0.2">
      <c r="A11" s="17">
        <v>1</v>
      </c>
      <c r="B11" s="176" t="s">
        <v>896</v>
      </c>
      <c r="C11" s="176">
        <v>124335</v>
      </c>
      <c r="D11" s="176">
        <v>29250</v>
      </c>
      <c r="E11" s="176">
        <v>880</v>
      </c>
      <c r="F11" s="176">
        <v>238</v>
      </c>
      <c r="G11" s="176">
        <f>SUM(C11:F11)</f>
        <v>154703</v>
      </c>
      <c r="H11" s="326">
        <f>M11/R11</f>
        <v>85673.438202247198</v>
      </c>
      <c r="I11" s="308">
        <f>N11/S11</f>
        <v>20744.662921348314</v>
      </c>
      <c r="J11" s="308">
        <f>O11/234</f>
        <v>414.89316239316241</v>
      </c>
      <c r="K11" s="308">
        <f>P11/U11</f>
        <v>111.80898876404494</v>
      </c>
      <c r="L11" s="308">
        <f>SUM(H11:K11)</f>
        <v>106944.8032747527</v>
      </c>
      <c r="M11" s="308">
        <v>15249872</v>
      </c>
      <c r="N11" s="308">
        <v>3692550</v>
      </c>
      <c r="O11" s="308">
        <v>97085</v>
      </c>
      <c r="P11" s="308">
        <v>19902</v>
      </c>
      <c r="Q11" s="308">
        <f>SUM(M11:P11)</f>
        <v>19059409</v>
      </c>
      <c r="R11" s="15">
        <v>178</v>
      </c>
      <c r="S11" s="15">
        <v>178</v>
      </c>
      <c r="T11" s="15">
        <v>234</v>
      </c>
      <c r="U11" s="311">
        <v>178</v>
      </c>
    </row>
    <row r="12" spans="1:21" x14ac:dyDescent="0.2">
      <c r="A12" s="17">
        <v>2</v>
      </c>
      <c r="B12" s="176" t="s">
        <v>897</v>
      </c>
      <c r="C12" s="176">
        <v>38241</v>
      </c>
      <c r="D12" s="176">
        <v>15392</v>
      </c>
      <c r="E12" s="176">
        <v>0</v>
      </c>
      <c r="F12" s="176">
        <v>0</v>
      </c>
      <c r="G12" s="176">
        <f t="shared" ref="G12:G34" si="0">SUM(C12:F12)</f>
        <v>53633</v>
      </c>
      <c r="H12" s="326">
        <f t="shared" ref="H12:H34" si="1">M12/R12</f>
        <v>26707.398876404495</v>
      </c>
      <c r="I12" s="308">
        <f t="shared" ref="I12:I34" si="2">N12/S12</f>
        <v>12114.337078651686</v>
      </c>
      <c r="J12" s="308">
        <f t="shared" ref="J12:J34" si="3">O12/234</f>
        <v>0</v>
      </c>
      <c r="K12" s="308">
        <f t="shared" ref="K12:K34" si="4">P12/U12</f>
        <v>0</v>
      </c>
      <c r="L12" s="308">
        <f t="shared" ref="L12:L34" si="5">SUM(H12:K12)</f>
        <v>38821.735955056181</v>
      </c>
      <c r="M12" s="308">
        <v>4753917</v>
      </c>
      <c r="N12" s="308">
        <v>2156352</v>
      </c>
      <c r="O12" s="308">
        <v>0</v>
      </c>
      <c r="P12" s="308">
        <v>0</v>
      </c>
      <c r="Q12" s="308">
        <f t="shared" ref="Q12:Q34" si="6">SUM(M12:P12)</f>
        <v>6910269</v>
      </c>
      <c r="R12" s="15">
        <v>178</v>
      </c>
      <c r="S12" s="15">
        <v>178</v>
      </c>
      <c r="T12" s="15">
        <v>234</v>
      </c>
      <c r="U12" s="311">
        <v>178</v>
      </c>
    </row>
    <row r="13" spans="1:21" x14ac:dyDescent="0.2">
      <c r="A13" s="17">
        <v>3</v>
      </c>
      <c r="B13" s="176" t="s">
        <v>898</v>
      </c>
      <c r="C13" s="176">
        <v>41028</v>
      </c>
      <c r="D13" s="176">
        <v>2431</v>
      </c>
      <c r="E13" s="176">
        <v>0</v>
      </c>
      <c r="F13" s="176">
        <v>0</v>
      </c>
      <c r="G13" s="176">
        <f t="shared" si="0"/>
        <v>43459</v>
      </c>
      <c r="H13" s="326">
        <f t="shared" si="1"/>
        <v>26287.134831460673</v>
      </c>
      <c r="I13" s="308">
        <f t="shared" si="2"/>
        <v>1844.1685393258426</v>
      </c>
      <c r="J13" s="308">
        <f t="shared" si="3"/>
        <v>0</v>
      </c>
      <c r="K13" s="308">
        <f t="shared" si="4"/>
        <v>0</v>
      </c>
      <c r="L13" s="308">
        <f t="shared" si="5"/>
        <v>28131.303370786514</v>
      </c>
      <c r="M13" s="308">
        <v>4679110</v>
      </c>
      <c r="N13" s="308">
        <v>328262</v>
      </c>
      <c r="O13" s="308">
        <v>0</v>
      </c>
      <c r="P13" s="308">
        <v>0</v>
      </c>
      <c r="Q13" s="308">
        <f t="shared" si="6"/>
        <v>5007372</v>
      </c>
      <c r="R13" s="15">
        <v>178</v>
      </c>
      <c r="S13" s="15">
        <v>178</v>
      </c>
      <c r="T13" s="15">
        <v>234</v>
      </c>
      <c r="U13" s="311">
        <v>178</v>
      </c>
    </row>
    <row r="14" spans="1:21" x14ac:dyDescent="0.2">
      <c r="A14" s="17">
        <v>4</v>
      </c>
      <c r="B14" s="176" t="s">
        <v>899</v>
      </c>
      <c r="C14" s="176">
        <v>92138</v>
      </c>
      <c r="D14" s="176">
        <v>18625</v>
      </c>
      <c r="E14" s="176">
        <v>0</v>
      </c>
      <c r="F14" s="176">
        <v>74</v>
      </c>
      <c r="G14" s="176">
        <f t="shared" si="0"/>
        <v>110837</v>
      </c>
      <c r="H14" s="326">
        <f t="shared" si="1"/>
        <v>67878.432584269656</v>
      </c>
      <c r="I14" s="308">
        <f t="shared" si="2"/>
        <v>15839.005617977527</v>
      </c>
      <c r="J14" s="308">
        <f t="shared" si="3"/>
        <v>0</v>
      </c>
      <c r="K14" s="308">
        <f t="shared" si="4"/>
        <v>70.674157303370791</v>
      </c>
      <c r="L14" s="308">
        <f t="shared" si="5"/>
        <v>83788.112359550549</v>
      </c>
      <c r="M14" s="308">
        <v>12082361</v>
      </c>
      <c r="N14" s="308">
        <v>2819343</v>
      </c>
      <c r="O14" s="308">
        <v>0</v>
      </c>
      <c r="P14" s="308">
        <v>12580</v>
      </c>
      <c r="Q14" s="308">
        <f t="shared" si="6"/>
        <v>14914284</v>
      </c>
      <c r="R14" s="15">
        <v>178</v>
      </c>
      <c r="S14" s="15">
        <v>178</v>
      </c>
      <c r="T14" s="15">
        <v>234</v>
      </c>
      <c r="U14" s="311">
        <v>178</v>
      </c>
    </row>
    <row r="15" spans="1:21" x14ac:dyDescent="0.2">
      <c r="A15" s="17">
        <v>5</v>
      </c>
      <c r="B15" s="176" t="s">
        <v>900</v>
      </c>
      <c r="C15" s="176">
        <v>35192</v>
      </c>
      <c r="D15" s="176">
        <v>28126</v>
      </c>
      <c r="E15" s="176">
        <v>0</v>
      </c>
      <c r="F15" s="176">
        <v>0</v>
      </c>
      <c r="G15" s="176">
        <f t="shared" si="0"/>
        <v>63318</v>
      </c>
      <c r="H15" s="326">
        <f t="shared" si="1"/>
        <v>23182.325842696628</v>
      </c>
      <c r="I15" s="308">
        <f t="shared" si="2"/>
        <v>20873.786516853932</v>
      </c>
      <c r="J15" s="308">
        <f t="shared" si="3"/>
        <v>0</v>
      </c>
      <c r="K15" s="308">
        <f t="shared" si="4"/>
        <v>0</v>
      </c>
      <c r="L15" s="308">
        <f t="shared" si="5"/>
        <v>44056.112359550563</v>
      </c>
      <c r="M15" s="308">
        <v>4126454</v>
      </c>
      <c r="N15" s="308">
        <v>3715534</v>
      </c>
      <c r="O15" s="308">
        <v>0</v>
      </c>
      <c r="P15" s="308">
        <v>0</v>
      </c>
      <c r="Q15" s="308">
        <f t="shared" si="6"/>
        <v>7841988</v>
      </c>
      <c r="R15" s="15">
        <v>178</v>
      </c>
      <c r="S15" s="15">
        <v>178</v>
      </c>
      <c r="T15" s="15">
        <v>234</v>
      </c>
      <c r="U15" s="311">
        <v>178</v>
      </c>
    </row>
    <row r="16" spans="1:21" x14ac:dyDescent="0.2">
      <c r="A16" s="17">
        <v>6</v>
      </c>
      <c r="B16" s="176" t="s">
        <v>901</v>
      </c>
      <c r="C16" s="176">
        <v>94312</v>
      </c>
      <c r="D16" s="176">
        <v>13291</v>
      </c>
      <c r="E16" s="176">
        <v>0</v>
      </c>
      <c r="F16" s="176">
        <v>109</v>
      </c>
      <c r="G16" s="176">
        <f t="shared" si="0"/>
        <v>107712</v>
      </c>
      <c r="H16" s="326">
        <f t="shared" si="1"/>
        <v>66695.533707865165</v>
      </c>
      <c r="I16" s="308">
        <f t="shared" si="2"/>
        <v>8317.5786516853932</v>
      </c>
      <c r="J16" s="308">
        <f t="shared" si="3"/>
        <v>0</v>
      </c>
      <c r="K16" s="308">
        <f t="shared" si="4"/>
        <v>30.258426966292134</v>
      </c>
      <c r="L16" s="308">
        <f t="shared" si="5"/>
        <v>75043.370786516854</v>
      </c>
      <c r="M16" s="308">
        <v>11871805</v>
      </c>
      <c r="N16" s="308">
        <v>1480529</v>
      </c>
      <c r="O16" s="308">
        <v>0</v>
      </c>
      <c r="P16" s="308">
        <v>5386</v>
      </c>
      <c r="Q16" s="308">
        <f t="shared" si="6"/>
        <v>13357720</v>
      </c>
      <c r="R16" s="15">
        <v>178</v>
      </c>
      <c r="S16" s="15">
        <v>178</v>
      </c>
      <c r="T16" s="15">
        <v>234</v>
      </c>
      <c r="U16" s="311">
        <v>178</v>
      </c>
    </row>
    <row r="17" spans="1:21" x14ac:dyDescent="0.2">
      <c r="A17" s="17">
        <v>7</v>
      </c>
      <c r="B17" s="176" t="s">
        <v>902</v>
      </c>
      <c r="C17" s="176">
        <v>76223</v>
      </c>
      <c r="D17" s="176">
        <v>0</v>
      </c>
      <c r="E17" s="176">
        <v>0</v>
      </c>
      <c r="F17" s="176">
        <v>0</v>
      </c>
      <c r="G17" s="176">
        <f t="shared" si="0"/>
        <v>76223</v>
      </c>
      <c r="H17" s="326">
        <f t="shared" si="1"/>
        <v>50638.280898876401</v>
      </c>
      <c r="I17" s="308">
        <f t="shared" si="2"/>
        <v>0</v>
      </c>
      <c r="J17" s="308">
        <f t="shared" si="3"/>
        <v>0</v>
      </c>
      <c r="K17" s="308">
        <f t="shared" si="4"/>
        <v>0</v>
      </c>
      <c r="L17" s="308">
        <f t="shared" si="5"/>
        <v>50638.280898876401</v>
      </c>
      <c r="M17" s="308">
        <v>9013614</v>
      </c>
      <c r="N17" s="308">
        <v>0</v>
      </c>
      <c r="O17" s="308">
        <v>0</v>
      </c>
      <c r="P17" s="308">
        <v>0</v>
      </c>
      <c r="Q17" s="308">
        <f t="shared" si="6"/>
        <v>9013614</v>
      </c>
      <c r="R17" s="15">
        <v>178</v>
      </c>
      <c r="S17" s="15">
        <v>178</v>
      </c>
      <c r="T17" s="15">
        <v>234</v>
      </c>
      <c r="U17" s="311">
        <v>178</v>
      </c>
    </row>
    <row r="18" spans="1:21" x14ac:dyDescent="0.2">
      <c r="A18" s="17">
        <v>8</v>
      </c>
      <c r="B18" s="176" t="s">
        <v>903</v>
      </c>
      <c r="C18" s="176">
        <v>164849</v>
      </c>
      <c r="D18" s="176">
        <v>10101</v>
      </c>
      <c r="E18" s="176">
        <v>147</v>
      </c>
      <c r="F18" s="176">
        <v>32</v>
      </c>
      <c r="G18" s="176">
        <f t="shared" si="0"/>
        <v>175129</v>
      </c>
      <c r="H18" s="326">
        <f t="shared" si="1"/>
        <v>112796.89887640449</v>
      </c>
      <c r="I18" s="308">
        <f t="shared" si="2"/>
        <v>7527.7022471910113</v>
      </c>
      <c r="J18" s="308">
        <f t="shared" si="3"/>
        <v>119.56837606837607</v>
      </c>
      <c r="K18" s="308">
        <f t="shared" si="4"/>
        <v>23.067415730337078</v>
      </c>
      <c r="L18" s="308">
        <f t="shared" si="5"/>
        <v>120467.23691539423</v>
      </c>
      <c r="M18" s="308">
        <v>20077848</v>
      </c>
      <c r="N18" s="308">
        <v>1339931</v>
      </c>
      <c r="O18" s="308">
        <v>27979</v>
      </c>
      <c r="P18" s="308">
        <v>4106</v>
      </c>
      <c r="Q18" s="308">
        <f t="shared" si="6"/>
        <v>21449864</v>
      </c>
      <c r="R18" s="15">
        <v>178</v>
      </c>
      <c r="S18" s="15">
        <v>178</v>
      </c>
      <c r="T18" s="15">
        <v>234</v>
      </c>
      <c r="U18" s="311">
        <v>178</v>
      </c>
    </row>
    <row r="19" spans="1:21" x14ac:dyDescent="0.2">
      <c r="A19" s="17">
        <v>9</v>
      </c>
      <c r="B19" s="176" t="s">
        <v>904</v>
      </c>
      <c r="C19" s="176">
        <v>229593</v>
      </c>
      <c r="D19" s="176">
        <v>935</v>
      </c>
      <c r="E19" s="176">
        <v>0</v>
      </c>
      <c r="F19" s="176">
        <v>505</v>
      </c>
      <c r="G19" s="176">
        <f t="shared" si="0"/>
        <v>231033</v>
      </c>
      <c r="H19" s="326">
        <f t="shared" si="1"/>
        <v>162030.58426966291</v>
      </c>
      <c r="I19" s="308">
        <f t="shared" si="2"/>
        <v>639.01685393258424</v>
      </c>
      <c r="J19" s="308">
        <f t="shared" si="3"/>
        <v>0</v>
      </c>
      <c r="K19" s="308">
        <f t="shared" si="4"/>
        <v>370.53370786516854</v>
      </c>
      <c r="L19" s="308">
        <f t="shared" si="5"/>
        <v>163040.13483146066</v>
      </c>
      <c r="M19" s="308">
        <v>28841444</v>
      </c>
      <c r="N19" s="308">
        <v>113745</v>
      </c>
      <c r="O19" s="308">
        <v>0</v>
      </c>
      <c r="P19" s="308">
        <v>65955</v>
      </c>
      <c r="Q19" s="308">
        <f t="shared" si="6"/>
        <v>29021144</v>
      </c>
      <c r="R19" s="15">
        <v>178</v>
      </c>
      <c r="S19" s="15">
        <v>178</v>
      </c>
      <c r="T19" s="15">
        <v>234</v>
      </c>
      <c r="U19" s="311">
        <v>178</v>
      </c>
    </row>
    <row r="20" spans="1:21" x14ac:dyDescent="0.2">
      <c r="A20" s="17">
        <v>10</v>
      </c>
      <c r="B20" s="176" t="s">
        <v>905</v>
      </c>
      <c r="C20" s="176">
        <v>83346</v>
      </c>
      <c r="D20" s="176">
        <v>4772</v>
      </c>
      <c r="E20" s="176">
        <v>0</v>
      </c>
      <c r="F20" s="176">
        <v>0</v>
      </c>
      <c r="G20" s="176">
        <f t="shared" si="0"/>
        <v>88118</v>
      </c>
      <c r="H20" s="326">
        <f t="shared" si="1"/>
        <v>49762.84269662921</v>
      </c>
      <c r="I20" s="308">
        <f t="shared" si="2"/>
        <v>3752.5617977528091</v>
      </c>
      <c r="J20" s="308">
        <f t="shared" si="3"/>
        <v>0</v>
      </c>
      <c r="K20" s="308">
        <f t="shared" si="4"/>
        <v>0</v>
      </c>
      <c r="L20" s="308">
        <f t="shared" si="5"/>
        <v>53515.404494382019</v>
      </c>
      <c r="M20" s="308">
        <v>8857786</v>
      </c>
      <c r="N20" s="308">
        <v>667956</v>
      </c>
      <c r="O20" s="308">
        <v>0</v>
      </c>
      <c r="P20" s="308">
        <v>0</v>
      </c>
      <c r="Q20" s="308">
        <f t="shared" si="6"/>
        <v>9525742</v>
      </c>
      <c r="R20" s="15">
        <v>178</v>
      </c>
      <c r="S20" s="15">
        <v>178</v>
      </c>
      <c r="T20" s="15">
        <v>234</v>
      </c>
      <c r="U20" s="311">
        <v>178</v>
      </c>
    </row>
    <row r="21" spans="1:21" x14ac:dyDescent="0.2">
      <c r="A21" s="17">
        <v>11</v>
      </c>
      <c r="B21" s="176" t="s">
        <v>906</v>
      </c>
      <c r="C21" s="176">
        <f>82382+56022</f>
        <v>138404</v>
      </c>
      <c r="D21" s="176">
        <v>1000</v>
      </c>
      <c r="E21" s="176">
        <v>1250</v>
      </c>
      <c r="F21" s="176">
        <v>102</v>
      </c>
      <c r="G21" s="176">
        <f t="shared" si="0"/>
        <v>140756</v>
      </c>
      <c r="H21" s="326">
        <f t="shared" si="1"/>
        <v>86523.713483146072</v>
      </c>
      <c r="I21" s="308">
        <f t="shared" si="2"/>
        <v>757.07303370786519</v>
      </c>
      <c r="J21" s="308">
        <f t="shared" si="3"/>
        <v>631.991452991453</v>
      </c>
      <c r="K21" s="308">
        <f t="shared" si="4"/>
        <v>63.398876404494381</v>
      </c>
      <c r="L21" s="308">
        <f t="shared" si="5"/>
        <v>87976.176846249888</v>
      </c>
      <c r="M21" s="308">
        <v>15401221</v>
      </c>
      <c r="N21" s="308">
        <v>134759</v>
      </c>
      <c r="O21" s="308">
        <v>147886</v>
      </c>
      <c r="P21" s="308">
        <v>11285</v>
      </c>
      <c r="Q21" s="308">
        <f t="shared" si="6"/>
        <v>15695151</v>
      </c>
      <c r="R21" s="15">
        <v>178</v>
      </c>
      <c r="S21" s="15">
        <v>178</v>
      </c>
      <c r="T21" s="15">
        <v>234</v>
      </c>
      <c r="U21" s="311">
        <v>178</v>
      </c>
    </row>
    <row r="22" spans="1:21" x14ac:dyDescent="0.2">
      <c r="A22" s="17">
        <v>12</v>
      </c>
      <c r="B22" s="269" t="s">
        <v>907</v>
      </c>
      <c r="C22" s="176">
        <v>108599</v>
      </c>
      <c r="D22" s="176">
        <v>3411</v>
      </c>
      <c r="E22" s="176">
        <v>585</v>
      </c>
      <c r="F22" s="176">
        <v>1138</v>
      </c>
      <c r="G22" s="176">
        <f t="shared" si="0"/>
        <v>113733</v>
      </c>
      <c r="H22" s="326">
        <f t="shared" si="1"/>
        <v>76319.567415730344</v>
      </c>
      <c r="I22" s="308">
        <f t="shared" si="2"/>
        <v>2591.567415730337</v>
      </c>
      <c r="J22" s="308">
        <f t="shared" si="3"/>
        <v>337.47008547008545</v>
      </c>
      <c r="K22" s="308">
        <f t="shared" si="4"/>
        <v>674.88202247191009</v>
      </c>
      <c r="L22" s="308">
        <f t="shared" si="5"/>
        <v>79923.486939402675</v>
      </c>
      <c r="M22" s="308">
        <v>13584883</v>
      </c>
      <c r="N22" s="308">
        <v>461299</v>
      </c>
      <c r="O22" s="308">
        <v>78968</v>
      </c>
      <c r="P22" s="308">
        <v>120129</v>
      </c>
      <c r="Q22" s="308">
        <f t="shared" si="6"/>
        <v>14245279</v>
      </c>
      <c r="R22" s="15">
        <v>178</v>
      </c>
      <c r="S22" s="15">
        <v>178</v>
      </c>
      <c r="T22" s="15">
        <v>234</v>
      </c>
      <c r="U22" s="311">
        <v>178</v>
      </c>
    </row>
    <row r="23" spans="1:21" x14ac:dyDescent="0.2">
      <c r="A23" s="17">
        <v>13</v>
      </c>
      <c r="B23" s="176" t="s">
        <v>908</v>
      </c>
      <c r="C23" s="176">
        <v>44118</v>
      </c>
      <c r="D23" s="176">
        <v>741</v>
      </c>
      <c r="E23" s="176">
        <v>173</v>
      </c>
      <c r="F23" s="176">
        <v>0</v>
      </c>
      <c r="G23" s="176">
        <f t="shared" si="0"/>
        <v>45032</v>
      </c>
      <c r="H23" s="326">
        <f t="shared" si="1"/>
        <v>31907.382022471909</v>
      </c>
      <c r="I23" s="308">
        <f t="shared" si="2"/>
        <v>521.96629213483141</v>
      </c>
      <c r="J23" s="308">
        <f t="shared" si="3"/>
        <v>0</v>
      </c>
      <c r="K23" s="308">
        <f t="shared" si="4"/>
        <v>117.30898876404494</v>
      </c>
      <c r="L23" s="308">
        <f t="shared" si="5"/>
        <v>32546.657303370786</v>
      </c>
      <c r="M23" s="308">
        <v>5679514</v>
      </c>
      <c r="N23" s="308">
        <v>92910</v>
      </c>
      <c r="O23" s="308">
        <v>0</v>
      </c>
      <c r="P23" s="308">
        <v>20881</v>
      </c>
      <c r="Q23" s="308">
        <f t="shared" si="6"/>
        <v>5793305</v>
      </c>
      <c r="R23" s="15">
        <v>178</v>
      </c>
      <c r="S23" s="15">
        <v>178</v>
      </c>
      <c r="T23" s="15">
        <v>234</v>
      </c>
      <c r="U23" s="311">
        <v>178</v>
      </c>
    </row>
    <row r="24" spans="1:21" x14ac:dyDescent="0.2">
      <c r="A24" s="17">
        <v>14</v>
      </c>
      <c r="B24" s="176" t="s">
        <v>909</v>
      </c>
      <c r="C24" s="176">
        <v>54682</v>
      </c>
      <c r="D24" s="176">
        <v>396</v>
      </c>
      <c r="E24" s="176">
        <v>0</v>
      </c>
      <c r="F24" s="176">
        <v>369</v>
      </c>
      <c r="G24" s="176">
        <f t="shared" si="0"/>
        <v>55447</v>
      </c>
      <c r="H24" s="326">
        <f t="shared" si="1"/>
        <v>37507.168539325845</v>
      </c>
      <c r="I24" s="308">
        <f t="shared" si="2"/>
        <v>196.43820224719101</v>
      </c>
      <c r="J24" s="308">
        <f t="shared" si="3"/>
        <v>0</v>
      </c>
      <c r="K24" s="308">
        <f t="shared" si="4"/>
        <v>248.88764044943821</v>
      </c>
      <c r="L24" s="308">
        <f t="shared" si="5"/>
        <v>37952.494382022473</v>
      </c>
      <c r="M24" s="308">
        <v>6676276</v>
      </c>
      <c r="N24" s="308">
        <v>34966</v>
      </c>
      <c r="O24" s="308">
        <v>0</v>
      </c>
      <c r="P24" s="308">
        <v>44302</v>
      </c>
      <c r="Q24" s="308">
        <f t="shared" si="6"/>
        <v>6755544</v>
      </c>
      <c r="R24" s="15">
        <v>178</v>
      </c>
      <c r="S24" s="15">
        <v>178</v>
      </c>
      <c r="T24" s="15">
        <v>234</v>
      </c>
      <c r="U24" s="311">
        <v>178</v>
      </c>
    </row>
    <row r="25" spans="1:21" x14ac:dyDescent="0.2">
      <c r="A25" s="17">
        <v>15</v>
      </c>
      <c r="B25" s="176" t="s">
        <v>910</v>
      </c>
      <c r="C25" s="176">
        <v>115390</v>
      </c>
      <c r="D25" s="176">
        <v>537</v>
      </c>
      <c r="E25" s="176">
        <v>0</v>
      </c>
      <c r="F25" s="176">
        <v>319</v>
      </c>
      <c r="G25" s="176">
        <f t="shared" si="0"/>
        <v>116246</v>
      </c>
      <c r="H25" s="326">
        <f t="shared" si="1"/>
        <v>84240.404494382019</v>
      </c>
      <c r="I25" s="308">
        <f t="shared" si="2"/>
        <v>467.77528089887642</v>
      </c>
      <c r="J25" s="308">
        <f t="shared" si="3"/>
        <v>0</v>
      </c>
      <c r="K25" s="308">
        <f t="shared" si="4"/>
        <v>252.10112359550561</v>
      </c>
      <c r="L25" s="308">
        <f t="shared" si="5"/>
        <v>84960.280898876401</v>
      </c>
      <c r="M25" s="308">
        <v>14994792</v>
      </c>
      <c r="N25" s="308">
        <v>83264</v>
      </c>
      <c r="O25" s="308">
        <v>0</v>
      </c>
      <c r="P25" s="308">
        <v>44874</v>
      </c>
      <c r="Q25" s="308">
        <f t="shared" si="6"/>
        <v>15122930</v>
      </c>
      <c r="R25" s="15">
        <v>178</v>
      </c>
      <c r="S25" s="15">
        <v>178</v>
      </c>
      <c r="T25" s="15">
        <v>234</v>
      </c>
      <c r="U25" s="311">
        <v>178</v>
      </c>
    </row>
    <row r="26" spans="1:21" x14ac:dyDescent="0.2">
      <c r="A26" s="17">
        <v>16</v>
      </c>
      <c r="B26" s="176" t="s">
        <v>911</v>
      </c>
      <c r="C26" s="176">
        <v>232507</v>
      </c>
      <c r="D26" s="176">
        <v>5412</v>
      </c>
      <c r="E26" s="176">
        <v>0</v>
      </c>
      <c r="F26" s="176">
        <v>1176</v>
      </c>
      <c r="G26" s="176">
        <f t="shared" si="0"/>
        <v>239095</v>
      </c>
      <c r="H26" s="326">
        <f t="shared" si="1"/>
        <v>142607.31460674157</v>
      </c>
      <c r="I26" s="308">
        <f t="shared" si="2"/>
        <v>3022.4494382022472</v>
      </c>
      <c r="J26" s="308">
        <f t="shared" si="3"/>
        <v>0</v>
      </c>
      <c r="K26" s="308">
        <f t="shared" si="4"/>
        <v>552.38764044943821</v>
      </c>
      <c r="L26" s="308">
        <f t="shared" si="5"/>
        <v>146182.15168539327</v>
      </c>
      <c r="M26" s="308">
        <v>25384102</v>
      </c>
      <c r="N26" s="308">
        <v>537996</v>
      </c>
      <c r="O26" s="308">
        <v>0</v>
      </c>
      <c r="P26" s="308">
        <v>98325</v>
      </c>
      <c r="Q26" s="308">
        <f t="shared" si="6"/>
        <v>26020423</v>
      </c>
      <c r="R26" s="15">
        <v>178</v>
      </c>
      <c r="S26" s="15">
        <v>178</v>
      </c>
      <c r="T26" s="15">
        <v>234</v>
      </c>
      <c r="U26" s="311">
        <v>178</v>
      </c>
    </row>
    <row r="27" spans="1:21" x14ac:dyDescent="0.2">
      <c r="A27" s="17">
        <v>17</v>
      </c>
      <c r="B27" s="176" t="s">
        <v>912</v>
      </c>
      <c r="C27" s="176">
        <f>107654+14518</f>
        <v>122172</v>
      </c>
      <c r="D27" s="176">
        <v>2716</v>
      </c>
      <c r="E27" s="176">
        <v>0</v>
      </c>
      <c r="F27" s="176">
        <v>210</v>
      </c>
      <c r="G27" s="176">
        <f t="shared" si="0"/>
        <v>125098</v>
      </c>
      <c r="H27" s="326">
        <f t="shared" si="1"/>
        <v>78969.089887640454</v>
      </c>
      <c r="I27" s="308">
        <f t="shared" si="2"/>
        <v>1525.2977528089887</v>
      </c>
      <c r="J27" s="308">
        <f t="shared" si="3"/>
        <v>0</v>
      </c>
      <c r="K27" s="308">
        <f t="shared" si="4"/>
        <v>161.06741573033707</v>
      </c>
      <c r="L27" s="308">
        <f t="shared" si="5"/>
        <v>80655.455056179781</v>
      </c>
      <c r="M27" s="308">
        <v>14056498</v>
      </c>
      <c r="N27" s="308">
        <v>271503</v>
      </c>
      <c r="O27" s="308">
        <v>0</v>
      </c>
      <c r="P27" s="308">
        <v>28670</v>
      </c>
      <c r="Q27" s="308">
        <f t="shared" si="6"/>
        <v>14356671</v>
      </c>
      <c r="R27" s="15">
        <v>178</v>
      </c>
      <c r="S27" s="15">
        <v>178</v>
      </c>
      <c r="T27" s="15">
        <v>234</v>
      </c>
      <c r="U27" s="311">
        <v>178</v>
      </c>
    </row>
    <row r="28" spans="1:21" x14ac:dyDescent="0.2">
      <c r="A28" s="17">
        <v>18</v>
      </c>
      <c r="B28" s="176" t="s">
        <v>913</v>
      </c>
      <c r="C28" s="176">
        <v>104048</v>
      </c>
      <c r="D28" s="176">
        <v>329</v>
      </c>
      <c r="E28" s="176">
        <v>0</v>
      </c>
      <c r="F28" s="176">
        <v>0</v>
      </c>
      <c r="G28" s="176">
        <f t="shared" si="0"/>
        <v>104377</v>
      </c>
      <c r="H28" s="326">
        <f t="shared" si="1"/>
        <v>70596.769662921346</v>
      </c>
      <c r="I28" s="308">
        <f t="shared" si="2"/>
        <v>126.11797752808988</v>
      </c>
      <c r="J28" s="308">
        <f t="shared" si="3"/>
        <v>0</v>
      </c>
      <c r="K28" s="308">
        <f t="shared" si="4"/>
        <v>0</v>
      </c>
      <c r="L28" s="308">
        <f t="shared" si="5"/>
        <v>70722.887640449437</v>
      </c>
      <c r="M28" s="308">
        <v>12566225</v>
      </c>
      <c r="N28" s="308">
        <v>22449</v>
      </c>
      <c r="O28" s="308">
        <v>0</v>
      </c>
      <c r="P28" s="308">
        <v>0</v>
      </c>
      <c r="Q28" s="308">
        <f t="shared" si="6"/>
        <v>12588674</v>
      </c>
      <c r="R28" s="15">
        <v>178</v>
      </c>
      <c r="S28" s="15">
        <v>178</v>
      </c>
      <c r="T28" s="15">
        <v>234</v>
      </c>
      <c r="U28" s="311">
        <v>178</v>
      </c>
    </row>
    <row r="29" spans="1:21" x14ac:dyDescent="0.2">
      <c r="A29" s="17">
        <v>19</v>
      </c>
      <c r="B29" s="176" t="s">
        <v>914</v>
      </c>
      <c r="C29" s="176">
        <v>130935</v>
      </c>
      <c r="D29" s="176">
        <v>2925</v>
      </c>
      <c r="E29" s="176">
        <v>1265</v>
      </c>
      <c r="F29" s="176">
        <v>323</v>
      </c>
      <c r="G29" s="176">
        <f t="shared" si="0"/>
        <v>135448</v>
      </c>
      <c r="H29" s="326">
        <f t="shared" si="1"/>
        <v>79619.81460674158</v>
      </c>
      <c r="I29" s="308">
        <f t="shared" si="2"/>
        <v>2014.0449438202247</v>
      </c>
      <c r="J29" s="308">
        <f t="shared" si="3"/>
        <v>691.69658119658118</v>
      </c>
      <c r="K29" s="308">
        <f t="shared" si="4"/>
        <v>226.52247191011236</v>
      </c>
      <c r="L29" s="308">
        <f t="shared" si="5"/>
        <v>82552.078603668488</v>
      </c>
      <c r="M29" s="308">
        <v>14172327</v>
      </c>
      <c r="N29" s="308">
        <v>358500</v>
      </c>
      <c r="O29" s="308">
        <v>161857</v>
      </c>
      <c r="P29" s="308">
        <v>40321</v>
      </c>
      <c r="Q29" s="308">
        <f t="shared" si="6"/>
        <v>14733005</v>
      </c>
      <c r="R29" s="15">
        <v>178</v>
      </c>
      <c r="S29" s="15">
        <v>178</v>
      </c>
      <c r="T29" s="15">
        <v>234</v>
      </c>
      <c r="U29" s="311">
        <v>178</v>
      </c>
    </row>
    <row r="30" spans="1:21" x14ac:dyDescent="0.2">
      <c r="A30" s="17">
        <v>20</v>
      </c>
      <c r="B30" s="176" t="s">
        <v>915</v>
      </c>
      <c r="C30" s="176">
        <v>71387</v>
      </c>
      <c r="D30" s="176">
        <v>314</v>
      </c>
      <c r="E30" s="176">
        <v>0</v>
      </c>
      <c r="F30" s="176">
        <v>294</v>
      </c>
      <c r="G30" s="176">
        <f t="shared" si="0"/>
        <v>71995</v>
      </c>
      <c r="H30" s="326">
        <f t="shared" si="1"/>
        <v>45769.432584269663</v>
      </c>
      <c r="I30" s="308">
        <f t="shared" si="2"/>
        <v>207.05056179775281</v>
      </c>
      <c r="J30" s="308">
        <f t="shared" si="3"/>
        <v>0</v>
      </c>
      <c r="K30" s="308">
        <f t="shared" si="4"/>
        <v>201.28089887640451</v>
      </c>
      <c r="L30" s="308">
        <f t="shared" si="5"/>
        <v>46177.764044943819</v>
      </c>
      <c r="M30" s="308">
        <v>8146959</v>
      </c>
      <c r="N30" s="308">
        <v>36855</v>
      </c>
      <c r="O30" s="308">
        <v>0</v>
      </c>
      <c r="P30" s="308">
        <v>35828</v>
      </c>
      <c r="Q30" s="308">
        <f t="shared" si="6"/>
        <v>8219642</v>
      </c>
      <c r="R30" s="15">
        <v>178</v>
      </c>
      <c r="S30" s="15">
        <v>178</v>
      </c>
      <c r="T30" s="15">
        <v>234</v>
      </c>
      <c r="U30" s="311">
        <v>178</v>
      </c>
    </row>
    <row r="31" spans="1:21" x14ac:dyDescent="0.2">
      <c r="A31" s="17">
        <v>21</v>
      </c>
      <c r="B31" s="176" t="s">
        <v>916</v>
      </c>
      <c r="C31" s="176">
        <f>642+126875</f>
        <v>127517</v>
      </c>
      <c r="D31" s="176">
        <v>2154</v>
      </c>
      <c r="E31" s="176">
        <v>0</v>
      </c>
      <c r="F31" s="176">
        <v>5805</v>
      </c>
      <c r="G31" s="176">
        <f t="shared" si="0"/>
        <v>135476</v>
      </c>
      <c r="H31" s="326">
        <f t="shared" si="1"/>
        <v>79523.578651685399</v>
      </c>
      <c r="I31" s="308">
        <f t="shared" si="2"/>
        <v>1550.3932584269662</v>
      </c>
      <c r="J31" s="308">
        <f t="shared" si="3"/>
        <v>0</v>
      </c>
      <c r="K31" s="308">
        <f t="shared" si="4"/>
        <v>3348.0393258426966</v>
      </c>
      <c r="L31" s="308">
        <f t="shared" si="5"/>
        <v>84422.011235955055</v>
      </c>
      <c r="M31" s="308">
        <v>14155197</v>
      </c>
      <c r="N31" s="308">
        <v>275970</v>
      </c>
      <c r="O31" s="308">
        <v>0</v>
      </c>
      <c r="P31" s="308">
        <v>595951</v>
      </c>
      <c r="Q31" s="308">
        <f t="shared" si="6"/>
        <v>15027118</v>
      </c>
      <c r="R31" s="15">
        <v>178</v>
      </c>
      <c r="S31" s="15">
        <v>178</v>
      </c>
      <c r="T31" s="15">
        <v>234</v>
      </c>
      <c r="U31" s="311">
        <v>178</v>
      </c>
    </row>
    <row r="32" spans="1:21" x14ac:dyDescent="0.2">
      <c r="A32" s="17">
        <v>22</v>
      </c>
      <c r="B32" s="176" t="s">
        <v>917</v>
      </c>
      <c r="C32" s="176">
        <v>100073</v>
      </c>
      <c r="D32" s="176">
        <v>3239</v>
      </c>
      <c r="E32" s="176">
        <v>496</v>
      </c>
      <c r="F32" s="176">
        <v>5221</v>
      </c>
      <c r="G32" s="176">
        <f t="shared" si="0"/>
        <v>109029</v>
      </c>
      <c r="H32" s="326">
        <f t="shared" si="1"/>
        <v>51093.606741573036</v>
      </c>
      <c r="I32" s="308">
        <f t="shared" si="2"/>
        <v>1653.6966292134832</v>
      </c>
      <c r="J32" s="308">
        <f t="shared" si="3"/>
        <v>2.1196581196581197</v>
      </c>
      <c r="K32" s="308">
        <f t="shared" si="4"/>
        <v>2665.8426966292136</v>
      </c>
      <c r="L32" s="308">
        <f t="shared" si="5"/>
        <v>55415.265725535384</v>
      </c>
      <c r="M32" s="308">
        <v>9094662</v>
      </c>
      <c r="N32" s="308">
        <v>294358</v>
      </c>
      <c r="O32" s="308">
        <v>496</v>
      </c>
      <c r="P32" s="308">
        <v>474520</v>
      </c>
      <c r="Q32" s="308">
        <f t="shared" si="6"/>
        <v>9864036</v>
      </c>
      <c r="R32" s="15">
        <v>178</v>
      </c>
      <c r="S32" s="15">
        <v>178</v>
      </c>
      <c r="T32" s="15">
        <v>234</v>
      </c>
      <c r="U32" s="311">
        <v>178</v>
      </c>
    </row>
    <row r="33" spans="1:21" x14ac:dyDescent="0.2">
      <c r="A33" s="17">
        <v>23</v>
      </c>
      <c r="B33" s="176" t="s">
        <v>918</v>
      </c>
      <c r="C33" s="176">
        <v>136700</v>
      </c>
      <c r="D33" s="176">
        <v>2057</v>
      </c>
      <c r="E33" s="176">
        <v>0</v>
      </c>
      <c r="F33" s="176">
        <v>7181</v>
      </c>
      <c r="G33" s="176">
        <f t="shared" si="0"/>
        <v>145938</v>
      </c>
      <c r="H33" s="326">
        <f t="shared" si="1"/>
        <v>87780.966292134835</v>
      </c>
      <c r="I33" s="308">
        <f t="shared" si="2"/>
        <v>1873.814606741573</v>
      </c>
      <c r="J33" s="308">
        <f t="shared" si="3"/>
        <v>0</v>
      </c>
      <c r="K33" s="308">
        <f t="shared" si="4"/>
        <v>4350.9775280898875</v>
      </c>
      <c r="L33" s="308">
        <f t="shared" si="5"/>
        <v>94005.758426966306</v>
      </c>
      <c r="M33" s="308">
        <v>15625012</v>
      </c>
      <c r="N33" s="308">
        <v>333539</v>
      </c>
      <c r="O33" s="308">
        <v>0</v>
      </c>
      <c r="P33" s="308">
        <v>774474</v>
      </c>
      <c r="Q33" s="308">
        <f t="shared" si="6"/>
        <v>16733025</v>
      </c>
      <c r="R33" s="15">
        <v>178</v>
      </c>
      <c r="S33" s="15">
        <v>178</v>
      </c>
      <c r="T33" s="15">
        <v>234</v>
      </c>
      <c r="U33" s="311">
        <v>178</v>
      </c>
    </row>
    <row r="34" spans="1:21" x14ac:dyDescent="0.2">
      <c r="A34" s="17">
        <v>24</v>
      </c>
      <c r="B34" s="176" t="s">
        <v>919</v>
      </c>
      <c r="C34" s="176">
        <v>149605</v>
      </c>
      <c r="D34" s="176">
        <v>363</v>
      </c>
      <c r="E34" s="176">
        <v>0</v>
      </c>
      <c r="F34" s="176">
        <v>346</v>
      </c>
      <c r="G34" s="176">
        <f t="shared" si="0"/>
        <v>150314</v>
      </c>
      <c r="H34" s="326">
        <f t="shared" si="1"/>
        <v>93281.679775280892</v>
      </c>
      <c r="I34" s="308">
        <f t="shared" si="2"/>
        <v>231.41011235955057</v>
      </c>
      <c r="J34" s="308">
        <f t="shared" si="3"/>
        <v>0</v>
      </c>
      <c r="K34" s="308">
        <f t="shared" si="4"/>
        <v>210.3932584269663</v>
      </c>
      <c r="L34" s="308">
        <f t="shared" si="5"/>
        <v>93723.483146067403</v>
      </c>
      <c r="M34" s="308">
        <v>16604139</v>
      </c>
      <c r="N34" s="308">
        <v>41191</v>
      </c>
      <c r="O34" s="308">
        <v>0</v>
      </c>
      <c r="P34" s="308">
        <v>37450</v>
      </c>
      <c r="Q34" s="308">
        <f t="shared" si="6"/>
        <v>16682780</v>
      </c>
      <c r="R34" s="15">
        <v>178</v>
      </c>
      <c r="S34" s="15">
        <v>178</v>
      </c>
      <c r="T34" s="15">
        <v>234</v>
      </c>
      <c r="U34" s="311">
        <v>178</v>
      </c>
    </row>
    <row r="35" spans="1:21" s="14" customFormat="1" x14ac:dyDescent="0.2">
      <c r="A35" s="798" t="s">
        <v>18</v>
      </c>
      <c r="B35" s="800"/>
      <c r="C35" s="307">
        <f t="shared" ref="C35:Q35" si="7">SUM(C11:C34)</f>
        <v>2615394</v>
      </c>
      <c r="D35" s="307">
        <f t="shared" si="7"/>
        <v>148517</v>
      </c>
      <c r="E35" s="307">
        <f t="shared" si="7"/>
        <v>4796</v>
      </c>
      <c r="F35" s="307">
        <f t="shared" si="7"/>
        <v>23442</v>
      </c>
      <c r="G35" s="307">
        <f t="shared" si="7"/>
        <v>2792149</v>
      </c>
      <c r="H35" s="327">
        <f t="shared" si="7"/>
        <v>1717393.3595505618</v>
      </c>
      <c r="I35" s="327">
        <f t="shared" si="7"/>
        <v>108391.91573033712</v>
      </c>
      <c r="J35" s="327">
        <f t="shared" si="7"/>
        <v>2197.7393162393164</v>
      </c>
      <c r="K35" s="327">
        <f t="shared" si="7"/>
        <v>13679.432584269662</v>
      </c>
      <c r="L35" s="327">
        <f t="shared" si="7"/>
        <v>1841662.4471814078</v>
      </c>
      <c r="M35" s="306">
        <f t="shared" si="7"/>
        <v>305696018</v>
      </c>
      <c r="N35" s="306">
        <f t="shared" si="7"/>
        <v>19293761</v>
      </c>
      <c r="O35" s="306">
        <f t="shared" si="7"/>
        <v>514271</v>
      </c>
      <c r="P35" s="306">
        <f t="shared" si="7"/>
        <v>2434939</v>
      </c>
      <c r="Q35" s="306">
        <f t="shared" si="7"/>
        <v>327938989</v>
      </c>
    </row>
    <row r="36" spans="1:21" x14ac:dyDescent="0.2">
      <c r="A36" s="68"/>
      <c r="B36" s="20"/>
      <c r="C36" s="20"/>
      <c r="D36" s="20"/>
      <c r="E36" s="20"/>
      <c r="F36" s="20"/>
      <c r="G36" s="781">
        <f>'enrolment vs availed_UPY'!G35</f>
        <v>1388805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21" x14ac:dyDescent="0.2">
      <c r="A37" s="10" t="s">
        <v>7</v>
      </c>
      <c r="B37"/>
      <c r="C37"/>
      <c r="D37"/>
      <c r="G37" s="15">
        <f>SUM(G35+G36)</f>
        <v>4180954</v>
      </c>
    </row>
    <row r="38" spans="1:21" x14ac:dyDescent="0.2">
      <c r="A38" t="s">
        <v>8</v>
      </c>
      <c r="B38"/>
      <c r="C38"/>
      <c r="D38"/>
    </row>
    <row r="39" spans="1:21" x14ac:dyDescent="0.2">
      <c r="A39" t="s">
        <v>9</v>
      </c>
      <c r="B39"/>
      <c r="C39"/>
      <c r="D39"/>
      <c r="I39" s="11"/>
      <c r="J39" s="11"/>
      <c r="K39" s="11"/>
      <c r="L39" s="11"/>
    </row>
    <row r="40" spans="1:21" customFormat="1" x14ac:dyDescent="0.2">
      <c r="A40" s="15" t="s">
        <v>425</v>
      </c>
      <c r="J40" s="11"/>
      <c r="K40" s="11"/>
      <c r="L40" s="11"/>
    </row>
    <row r="41" spans="1:21" customFormat="1" x14ac:dyDescent="0.2">
      <c r="C41" s="15" t="s">
        <v>426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21" x14ac:dyDescent="0.2">
      <c r="A42" s="14" t="s">
        <v>11</v>
      </c>
      <c r="B42" s="14"/>
      <c r="C42" s="14"/>
      <c r="D42" s="14"/>
      <c r="E42" s="14"/>
      <c r="F42" s="14"/>
      <c r="G42" s="14"/>
      <c r="I42" s="14"/>
      <c r="N42" s="842" t="s">
        <v>12</v>
      </c>
      <c r="O42" s="842"/>
      <c r="P42" s="667"/>
      <c r="Q42" s="667"/>
    </row>
    <row r="43" spans="1:21" ht="12.75" customHeight="1" x14ac:dyDescent="0.2">
      <c r="A43" s="667"/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842" t="s">
        <v>13</v>
      </c>
      <c r="O43" s="842"/>
      <c r="P43" s="842"/>
      <c r="Q43" s="842"/>
    </row>
    <row r="44" spans="1:21" ht="12.75" customHeight="1" x14ac:dyDescent="0.2">
      <c r="A44" s="803" t="s">
        <v>92</v>
      </c>
      <c r="B44" s="803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</row>
    <row r="45" spans="1:21" x14ac:dyDescent="0.2">
      <c r="A45" s="14"/>
      <c r="B45" s="14"/>
      <c r="C45" s="14"/>
      <c r="D45" s="14"/>
      <c r="E45" s="14"/>
      <c r="F45" s="14"/>
      <c r="N45" s="820" t="s">
        <v>84</v>
      </c>
      <c r="O45" s="820"/>
      <c r="P45" s="820"/>
      <c r="Q45" s="820"/>
    </row>
    <row r="46" spans="1:21" x14ac:dyDescent="0.2">
      <c r="A46" s="932"/>
      <c r="B46" s="932"/>
      <c r="C46" s="932"/>
      <c r="D46" s="932"/>
      <c r="E46" s="932"/>
      <c r="F46" s="932"/>
      <c r="G46" s="932"/>
      <c r="H46" s="932"/>
      <c r="I46" s="932"/>
      <c r="J46" s="932"/>
      <c r="K46" s="932"/>
      <c r="L46" s="932"/>
    </row>
  </sheetData>
  <mergeCells count="17"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N7:Q7"/>
    <mergeCell ref="A35:B35"/>
    <mergeCell ref="A5:O5"/>
    <mergeCell ref="A46:L46"/>
    <mergeCell ref="N45:Q45"/>
    <mergeCell ref="A44:R44"/>
    <mergeCell ref="N43:Q43"/>
    <mergeCell ref="N42:O42"/>
  </mergeCells>
  <phoneticPr fontId="0" type="noConversion"/>
  <printOptions horizontalCentered="1"/>
  <pageMargins left="0.3" right="0.3" top="0.23622047244094491" bottom="0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R80"/>
  <sheetViews>
    <sheetView topLeftCell="A15" zoomScaleNormal="100" zoomScaleSheetLayoutView="90" workbookViewId="0">
      <selection activeCell="L35" sqref="L35"/>
    </sheetView>
  </sheetViews>
  <sheetFormatPr defaultColWidth="9.140625" defaultRowHeight="12.75" x14ac:dyDescent="0.2"/>
  <cols>
    <col min="1" max="1" width="7.140625" style="15" customWidth="1"/>
    <col min="2" max="2" width="14.85546875" style="15" bestFit="1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1.7109375" style="15" customWidth="1"/>
    <col min="13" max="13" width="11.140625" style="15" bestFit="1" customWidth="1"/>
    <col min="14" max="14" width="9.7109375" style="15" customWidth="1"/>
    <col min="15" max="15" width="10" style="15" customWidth="1"/>
    <col min="16" max="16" width="9.140625" style="15"/>
    <col min="17" max="17" width="11" style="15" customWidth="1"/>
    <col min="18" max="18" width="9.140625" style="15" hidden="1" customWidth="1"/>
    <col min="19" max="22" width="0" style="15" hidden="1" customWidth="1"/>
    <col min="23" max="16384" width="9.140625" style="15"/>
  </cols>
  <sheetData>
    <row r="1" spans="1:22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49" t="s">
        <v>61</v>
      </c>
      <c r="P1" s="849"/>
      <c r="Q1" s="849"/>
    </row>
    <row r="2" spans="1:22" customFormat="1" ht="15.75" x14ac:dyDescent="0.25">
      <c r="A2" s="850" t="s">
        <v>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42"/>
      <c r="N2" s="42"/>
      <c r="O2" s="42"/>
      <c r="P2" s="42"/>
    </row>
    <row r="3" spans="1:22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41"/>
      <c r="N3" s="41"/>
      <c r="O3" s="41"/>
      <c r="P3" s="41"/>
    </row>
    <row r="4" spans="1:22" customFormat="1" ht="11.25" customHeight="1" x14ac:dyDescent="0.2"/>
    <row r="5" spans="1:22" customFormat="1" ht="15.75" x14ac:dyDescent="0.25">
      <c r="A5" s="931" t="s">
        <v>797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15"/>
      <c r="N5" s="15"/>
      <c r="O5" s="15"/>
      <c r="P5" s="15"/>
    </row>
    <row r="7" spans="1:22" ht="12.6" customHeight="1" x14ac:dyDescent="0.2">
      <c r="A7" s="820" t="s">
        <v>920</v>
      </c>
      <c r="B7" s="820"/>
      <c r="N7" s="921" t="s">
        <v>830</v>
      </c>
      <c r="O7" s="921"/>
      <c r="P7" s="921"/>
      <c r="Q7" s="921"/>
      <c r="R7" s="921"/>
    </row>
    <row r="8" spans="1:22" s="14" customFormat="1" ht="29.45" customHeight="1" x14ac:dyDescent="0.2">
      <c r="A8" s="834" t="s">
        <v>2</v>
      </c>
      <c r="B8" s="834" t="s">
        <v>3</v>
      </c>
      <c r="C8" s="846" t="s">
        <v>759</v>
      </c>
      <c r="D8" s="846"/>
      <c r="E8" s="846"/>
      <c r="F8" s="846"/>
      <c r="G8" s="846"/>
      <c r="H8" s="933" t="s">
        <v>629</v>
      </c>
      <c r="I8" s="846"/>
      <c r="J8" s="846"/>
      <c r="K8" s="846"/>
      <c r="L8" s="846"/>
      <c r="M8" s="934" t="s">
        <v>112</v>
      </c>
      <c r="N8" s="935"/>
      <c r="O8" s="935"/>
      <c r="P8" s="935"/>
      <c r="Q8" s="936"/>
    </row>
    <row r="9" spans="1:22" s="14" customFormat="1" ht="38.25" x14ac:dyDescent="0.2">
      <c r="A9" s="834"/>
      <c r="B9" s="834"/>
      <c r="C9" s="5" t="s">
        <v>207</v>
      </c>
      <c r="D9" s="5" t="s">
        <v>208</v>
      </c>
      <c r="E9" s="5" t="s">
        <v>353</v>
      </c>
      <c r="F9" s="7" t="s">
        <v>214</v>
      </c>
      <c r="G9" s="7" t="s">
        <v>116</v>
      </c>
      <c r="H9" s="5" t="s">
        <v>207</v>
      </c>
      <c r="I9" s="5" t="s">
        <v>208</v>
      </c>
      <c r="J9" s="5" t="s">
        <v>353</v>
      </c>
      <c r="K9" s="5" t="s">
        <v>214</v>
      </c>
      <c r="L9" s="5" t="s">
        <v>117</v>
      </c>
      <c r="M9" s="5" t="s">
        <v>207</v>
      </c>
      <c r="N9" s="5" t="s">
        <v>208</v>
      </c>
      <c r="O9" s="5" t="s">
        <v>353</v>
      </c>
      <c r="P9" s="7" t="s">
        <v>214</v>
      </c>
      <c r="Q9" s="5" t="s">
        <v>118</v>
      </c>
      <c r="R9" s="27"/>
      <c r="S9" s="28"/>
    </row>
    <row r="10" spans="1:22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46">
        <v>12</v>
      </c>
      <c r="M10" s="546">
        <v>13</v>
      </c>
      <c r="N10" s="547">
        <v>14</v>
      </c>
      <c r="O10" s="1">
        <v>15</v>
      </c>
      <c r="P10" s="546">
        <v>16</v>
      </c>
      <c r="Q10" s="546">
        <v>17</v>
      </c>
    </row>
    <row r="11" spans="1:22" x14ac:dyDescent="0.2">
      <c r="A11" s="17">
        <v>1</v>
      </c>
      <c r="B11" s="176" t="s">
        <v>896</v>
      </c>
      <c r="C11" s="18">
        <v>63060</v>
      </c>
      <c r="D11" s="18">
        <v>17214</v>
      </c>
      <c r="E11" s="18">
        <v>0</v>
      </c>
      <c r="F11" s="25">
        <v>117</v>
      </c>
      <c r="G11" s="25">
        <f>SUM(C11:F11)</f>
        <v>80391</v>
      </c>
      <c r="H11" s="308">
        <f>M11/S11</f>
        <v>40824.258426966291</v>
      </c>
      <c r="I11" s="308">
        <f>N11/T11</f>
        <v>12089.140449438202</v>
      </c>
      <c r="J11" s="308">
        <v>0</v>
      </c>
      <c r="K11" s="308">
        <f>P11/V11</f>
        <v>74.207865168539328</v>
      </c>
      <c r="L11" s="308">
        <f>SUM(H11:K11)</f>
        <v>52987.606741573029</v>
      </c>
      <c r="M11" s="308">
        <v>7266718</v>
      </c>
      <c r="N11" s="308">
        <v>2151867</v>
      </c>
      <c r="O11" s="18">
        <v>0</v>
      </c>
      <c r="P11" s="308">
        <v>13209</v>
      </c>
      <c r="Q11" s="308">
        <f t="shared" ref="Q11:Q34" si="0">SUM(M11:P11)</f>
        <v>9431794</v>
      </c>
      <c r="S11" s="15">
        <v>178</v>
      </c>
      <c r="T11" s="15">
        <v>178</v>
      </c>
      <c r="U11" s="15">
        <v>312</v>
      </c>
      <c r="V11" s="311">
        <v>178</v>
      </c>
    </row>
    <row r="12" spans="1:22" x14ac:dyDescent="0.2">
      <c r="A12" s="17">
        <v>2</v>
      </c>
      <c r="B12" s="176" t="s">
        <v>897</v>
      </c>
      <c r="C12" s="18">
        <v>15766</v>
      </c>
      <c r="D12" s="18">
        <v>7212</v>
      </c>
      <c r="E12" s="18">
        <v>0</v>
      </c>
      <c r="F12" s="25">
        <v>0</v>
      </c>
      <c r="G12" s="25">
        <f t="shared" ref="G12:G34" si="1">SUM(C12:F12)</f>
        <v>22978</v>
      </c>
      <c r="H12" s="308">
        <f t="shared" ref="H12:H34" si="2">M12/S12</f>
        <v>10621.825842696629</v>
      </c>
      <c r="I12" s="308">
        <f t="shared" ref="I12:I34" si="3">N12/T12</f>
        <v>5820.2808988764045</v>
      </c>
      <c r="J12" s="308">
        <f>'enrolment vs availed_PY'!O12/U12</f>
        <v>0</v>
      </c>
      <c r="K12" s="308">
        <f t="shared" ref="K12:K34" si="4">P12/V12</f>
        <v>0</v>
      </c>
      <c r="L12" s="308">
        <f t="shared" ref="L12:L34" si="5">SUM(H12:K12)</f>
        <v>16442.106741573036</v>
      </c>
      <c r="M12" s="308">
        <v>1890685</v>
      </c>
      <c r="N12" s="308">
        <v>1036010</v>
      </c>
      <c r="O12" s="18">
        <v>0</v>
      </c>
      <c r="P12" s="308">
        <v>0</v>
      </c>
      <c r="Q12" s="308">
        <f t="shared" si="0"/>
        <v>2926695</v>
      </c>
      <c r="S12" s="15">
        <v>178</v>
      </c>
      <c r="T12" s="15">
        <v>178</v>
      </c>
      <c r="U12" s="15">
        <v>312</v>
      </c>
      <c r="V12" s="311">
        <v>178</v>
      </c>
    </row>
    <row r="13" spans="1:22" x14ac:dyDescent="0.2">
      <c r="A13" s="17">
        <v>3</v>
      </c>
      <c r="B13" s="176" t="s">
        <v>898</v>
      </c>
      <c r="C13" s="18">
        <v>20788</v>
      </c>
      <c r="D13" s="18">
        <v>1268</v>
      </c>
      <c r="E13" s="18">
        <v>0</v>
      </c>
      <c r="F13" s="25">
        <v>0</v>
      </c>
      <c r="G13" s="25">
        <f t="shared" si="1"/>
        <v>22056</v>
      </c>
      <c r="H13" s="308">
        <f t="shared" si="2"/>
        <v>12779.095505617977</v>
      </c>
      <c r="I13" s="308">
        <f t="shared" si="3"/>
        <v>953.55617977528095</v>
      </c>
      <c r="J13" s="308">
        <f>'enrolment vs availed_PY'!O13/U13</f>
        <v>0</v>
      </c>
      <c r="K13" s="308">
        <f t="shared" si="4"/>
        <v>0</v>
      </c>
      <c r="L13" s="308">
        <f t="shared" si="5"/>
        <v>13732.651685393259</v>
      </c>
      <c r="M13" s="308">
        <v>2274679</v>
      </c>
      <c r="N13" s="308">
        <v>169733</v>
      </c>
      <c r="O13" s="18">
        <v>0</v>
      </c>
      <c r="P13" s="308">
        <v>0</v>
      </c>
      <c r="Q13" s="308">
        <f t="shared" si="0"/>
        <v>2444412</v>
      </c>
      <c r="S13" s="15">
        <v>178</v>
      </c>
      <c r="T13" s="15">
        <v>178</v>
      </c>
      <c r="U13" s="15">
        <v>312</v>
      </c>
      <c r="V13" s="311">
        <v>178</v>
      </c>
    </row>
    <row r="14" spans="1:22" x14ac:dyDescent="0.2">
      <c r="A14" s="17">
        <v>4</v>
      </c>
      <c r="B14" s="176" t="s">
        <v>899</v>
      </c>
      <c r="C14" s="18">
        <v>45798</v>
      </c>
      <c r="D14" s="18">
        <v>11967</v>
      </c>
      <c r="E14" s="18">
        <v>0</v>
      </c>
      <c r="F14" s="25">
        <v>67</v>
      </c>
      <c r="G14" s="25">
        <f t="shared" si="1"/>
        <v>57832</v>
      </c>
      <c r="H14" s="308">
        <f t="shared" si="2"/>
        <v>29930.247191011236</v>
      </c>
      <c r="I14" s="308">
        <f t="shared" si="3"/>
        <v>6445.5224719101125</v>
      </c>
      <c r="J14" s="308">
        <f>'enrolment vs availed_PY'!O14/U14</f>
        <v>0</v>
      </c>
      <c r="K14" s="308">
        <f t="shared" si="4"/>
        <v>54.398876404494381</v>
      </c>
      <c r="L14" s="308">
        <f t="shared" si="5"/>
        <v>36430.168539325838</v>
      </c>
      <c r="M14" s="308">
        <v>5327584</v>
      </c>
      <c r="N14" s="308">
        <v>1147303</v>
      </c>
      <c r="O14" s="18">
        <v>0</v>
      </c>
      <c r="P14" s="308">
        <v>9683</v>
      </c>
      <c r="Q14" s="308">
        <f t="shared" si="0"/>
        <v>6484570</v>
      </c>
      <c r="S14" s="15">
        <v>178</v>
      </c>
      <c r="T14" s="15">
        <v>178</v>
      </c>
      <c r="U14" s="15">
        <v>312</v>
      </c>
      <c r="V14" s="311">
        <v>178</v>
      </c>
    </row>
    <row r="15" spans="1:22" x14ac:dyDescent="0.2">
      <c r="A15" s="17">
        <v>5</v>
      </c>
      <c r="B15" s="176" t="s">
        <v>900</v>
      </c>
      <c r="C15" s="18">
        <v>17912</v>
      </c>
      <c r="D15" s="18">
        <v>11254</v>
      </c>
      <c r="E15" s="18">
        <v>0</v>
      </c>
      <c r="F15" s="25">
        <v>0</v>
      </c>
      <c r="G15" s="25">
        <f t="shared" si="1"/>
        <v>29166</v>
      </c>
      <c r="H15" s="308">
        <f t="shared" si="2"/>
        <v>11350.893258426966</v>
      </c>
      <c r="I15" s="308">
        <f t="shared" si="3"/>
        <v>8648.1404494382023</v>
      </c>
      <c r="J15" s="308">
        <f>'enrolment vs availed_PY'!O15/U15</f>
        <v>0</v>
      </c>
      <c r="K15" s="308">
        <f t="shared" si="4"/>
        <v>0</v>
      </c>
      <c r="L15" s="308">
        <f t="shared" si="5"/>
        <v>19999.033707865168</v>
      </c>
      <c r="M15" s="308">
        <v>2020459</v>
      </c>
      <c r="N15" s="308">
        <v>1539369</v>
      </c>
      <c r="O15" s="18">
        <v>0</v>
      </c>
      <c r="P15" s="308">
        <v>0</v>
      </c>
      <c r="Q15" s="308">
        <f t="shared" si="0"/>
        <v>3559828</v>
      </c>
      <c r="S15" s="15">
        <v>178</v>
      </c>
      <c r="T15" s="15">
        <v>178</v>
      </c>
      <c r="U15" s="15">
        <v>312</v>
      </c>
      <c r="V15" s="311">
        <v>178</v>
      </c>
    </row>
    <row r="16" spans="1:22" x14ac:dyDescent="0.2">
      <c r="A16" s="17">
        <v>6</v>
      </c>
      <c r="B16" s="176" t="s">
        <v>901</v>
      </c>
      <c r="C16" s="18">
        <v>55496</v>
      </c>
      <c r="D16" s="18">
        <v>9855</v>
      </c>
      <c r="E16" s="18">
        <v>0</v>
      </c>
      <c r="F16" s="25">
        <v>70</v>
      </c>
      <c r="G16" s="25">
        <f t="shared" si="1"/>
        <v>65421</v>
      </c>
      <c r="H16" s="308">
        <f t="shared" si="2"/>
        <v>35809.47752808989</v>
      </c>
      <c r="I16" s="308">
        <f t="shared" si="3"/>
        <v>6514.4044943820227</v>
      </c>
      <c r="J16" s="308">
        <f>'enrolment vs availed_PY'!O16/U16</f>
        <v>0</v>
      </c>
      <c r="K16" s="308">
        <f t="shared" si="4"/>
        <v>17.140449438202246</v>
      </c>
      <c r="L16" s="308">
        <f t="shared" si="5"/>
        <v>42341.02247191011</v>
      </c>
      <c r="M16" s="308">
        <v>6374087</v>
      </c>
      <c r="N16" s="308">
        <v>1159564</v>
      </c>
      <c r="O16" s="18">
        <v>0</v>
      </c>
      <c r="P16" s="308">
        <v>3051</v>
      </c>
      <c r="Q16" s="308">
        <f t="shared" si="0"/>
        <v>7536702</v>
      </c>
      <c r="S16" s="15">
        <v>178</v>
      </c>
      <c r="T16" s="15">
        <v>178</v>
      </c>
      <c r="U16" s="15">
        <v>312</v>
      </c>
      <c r="V16" s="311">
        <v>178</v>
      </c>
    </row>
    <row r="17" spans="1:22" x14ac:dyDescent="0.2">
      <c r="A17" s="17">
        <v>7</v>
      </c>
      <c r="B17" s="176" t="s">
        <v>902</v>
      </c>
      <c r="C17" s="18">
        <v>42774</v>
      </c>
      <c r="D17" s="18">
        <v>0</v>
      </c>
      <c r="E17" s="18">
        <v>0</v>
      </c>
      <c r="F17" s="25">
        <v>0</v>
      </c>
      <c r="G17" s="25">
        <f t="shared" si="1"/>
        <v>42774</v>
      </c>
      <c r="H17" s="308">
        <f t="shared" si="2"/>
        <v>26724.915730337078</v>
      </c>
      <c r="I17" s="308">
        <f t="shared" si="3"/>
        <v>0</v>
      </c>
      <c r="J17" s="308">
        <f>'enrolment vs availed_PY'!O17/U17</f>
        <v>0</v>
      </c>
      <c r="K17" s="308">
        <f t="shared" si="4"/>
        <v>0</v>
      </c>
      <c r="L17" s="308">
        <f t="shared" si="5"/>
        <v>26724.915730337078</v>
      </c>
      <c r="M17" s="308">
        <v>4757035</v>
      </c>
      <c r="N17" s="308">
        <v>0</v>
      </c>
      <c r="O17" s="18">
        <v>0</v>
      </c>
      <c r="P17" s="308">
        <v>0</v>
      </c>
      <c r="Q17" s="308">
        <f t="shared" si="0"/>
        <v>4757035</v>
      </c>
      <c r="S17" s="15">
        <v>178</v>
      </c>
      <c r="T17" s="15">
        <v>178</v>
      </c>
      <c r="U17" s="15">
        <v>312</v>
      </c>
      <c r="V17" s="311">
        <v>178</v>
      </c>
    </row>
    <row r="18" spans="1:22" x14ac:dyDescent="0.2">
      <c r="A18" s="17">
        <v>8</v>
      </c>
      <c r="B18" s="176" t="s">
        <v>903</v>
      </c>
      <c r="C18" s="18">
        <v>72092</v>
      </c>
      <c r="D18" s="18">
        <v>6480</v>
      </c>
      <c r="E18" s="18">
        <v>0</v>
      </c>
      <c r="F18" s="25">
        <v>44</v>
      </c>
      <c r="G18" s="25">
        <f t="shared" si="1"/>
        <v>78616</v>
      </c>
      <c r="H18" s="308">
        <f t="shared" si="2"/>
        <v>47168.730337078654</v>
      </c>
      <c r="I18" s="308">
        <f t="shared" si="3"/>
        <v>4876.6179775280898</v>
      </c>
      <c r="J18" s="308">
        <v>0</v>
      </c>
      <c r="K18" s="308">
        <f t="shared" si="4"/>
        <v>33.668539325842694</v>
      </c>
      <c r="L18" s="308">
        <f t="shared" si="5"/>
        <v>52079.01685393259</v>
      </c>
      <c r="M18" s="308">
        <v>8396034</v>
      </c>
      <c r="N18" s="308">
        <v>868038</v>
      </c>
      <c r="O18" s="18">
        <v>0</v>
      </c>
      <c r="P18" s="308">
        <v>5993</v>
      </c>
      <c r="Q18" s="308">
        <f t="shared" si="0"/>
        <v>9270065</v>
      </c>
      <c r="S18" s="15">
        <v>178</v>
      </c>
      <c r="T18" s="15">
        <v>178</v>
      </c>
      <c r="U18" s="15">
        <v>312</v>
      </c>
      <c r="V18" s="311">
        <v>178</v>
      </c>
    </row>
    <row r="19" spans="1:22" x14ac:dyDescent="0.2">
      <c r="A19" s="17">
        <v>9</v>
      </c>
      <c r="B19" s="176" t="s">
        <v>904</v>
      </c>
      <c r="C19" s="18">
        <v>117982</v>
      </c>
      <c r="D19" s="18">
        <v>748</v>
      </c>
      <c r="E19" s="18">
        <v>0</v>
      </c>
      <c r="F19" s="25">
        <v>374</v>
      </c>
      <c r="G19" s="25">
        <f t="shared" si="1"/>
        <v>119104</v>
      </c>
      <c r="H19" s="308">
        <f t="shared" si="2"/>
        <v>79061.735955056181</v>
      </c>
      <c r="I19" s="308">
        <f t="shared" si="3"/>
        <v>617.05056179775283</v>
      </c>
      <c r="J19" s="308">
        <f>'enrolment vs availed_PY'!O19/U19</f>
        <v>0</v>
      </c>
      <c r="K19" s="308">
        <f t="shared" si="4"/>
        <v>317.65730337078651</v>
      </c>
      <c r="L19" s="308">
        <f t="shared" si="5"/>
        <v>79996.443820224711</v>
      </c>
      <c r="M19" s="308">
        <v>14072989</v>
      </c>
      <c r="N19" s="308">
        <v>109835</v>
      </c>
      <c r="O19" s="18">
        <v>0</v>
      </c>
      <c r="P19" s="308">
        <v>56543</v>
      </c>
      <c r="Q19" s="308">
        <f t="shared" si="0"/>
        <v>14239367</v>
      </c>
      <c r="S19" s="15">
        <v>178</v>
      </c>
      <c r="T19" s="15">
        <v>178</v>
      </c>
      <c r="U19" s="15">
        <v>312</v>
      </c>
      <c r="V19" s="311">
        <v>178</v>
      </c>
    </row>
    <row r="20" spans="1:22" x14ac:dyDescent="0.2">
      <c r="A20" s="17">
        <v>10</v>
      </c>
      <c r="B20" s="176" t="s">
        <v>905</v>
      </c>
      <c r="C20" s="18">
        <v>39823</v>
      </c>
      <c r="D20" s="18">
        <v>2524</v>
      </c>
      <c r="E20" s="18">
        <v>0</v>
      </c>
      <c r="F20" s="25">
        <v>0</v>
      </c>
      <c r="G20" s="25">
        <f t="shared" si="1"/>
        <v>42347</v>
      </c>
      <c r="H20" s="308">
        <f t="shared" si="2"/>
        <v>20594.174157303372</v>
      </c>
      <c r="I20" s="308">
        <f t="shared" si="3"/>
        <v>2035.9550561797753</v>
      </c>
      <c r="J20" s="308">
        <f>'enrolment vs availed_PY'!O20/U20</f>
        <v>0</v>
      </c>
      <c r="K20" s="308">
        <f t="shared" si="4"/>
        <v>0</v>
      </c>
      <c r="L20" s="308">
        <f t="shared" si="5"/>
        <v>22630.129213483149</v>
      </c>
      <c r="M20" s="308">
        <v>3665763</v>
      </c>
      <c r="N20" s="308">
        <v>362400</v>
      </c>
      <c r="O20" s="18">
        <v>0</v>
      </c>
      <c r="P20" s="308">
        <v>0</v>
      </c>
      <c r="Q20" s="308">
        <f t="shared" si="0"/>
        <v>4028163</v>
      </c>
      <c r="S20" s="15">
        <v>178</v>
      </c>
      <c r="T20" s="15">
        <v>178</v>
      </c>
      <c r="U20" s="15">
        <v>312</v>
      </c>
      <c r="V20" s="311">
        <v>178</v>
      </c>
    </row>
    <row r="21" spans="1:22" x14ac:dyDescent="0.2">
      <c r="A21" s="17">
        <v>11</v>
      </c>
      <c r="B21" s="176" t="s">
        <v>906</v>
      </c>
      <c r="C21" s="18">
        <v>71068</v>
      </c>
      <c r="D21" s="18">
        <v>785</v>
      </c>
      <c r="E21" s="18">
        <v>0</v>
      </c>
      <c r="F21" s="25">
        <v>83</v>
      </c>
      <c r="G21" s="25">
        <f t="shared" si="1"/>
        <v>71936</v>
      </c>
      <c r="H21" s="308">
        <f t="shared" si="2"/>
        <v>42596.421348314609</v>
      </c>
      <c r="I21" s="308">
        <f t="shared" si="3"/>
        <v>653.08988764044943</v>
      </c>
      <c r="J21" s="308">
        <v>0</v>
      </c>
      <c r="K21" s="308">
        <f t="shared" si="4"/>
        <v>49.387640449438202</v>
      </c>
      <c r="L21" s="308">
        <f t="shared" si="5"/>
        <v>43298.898876404492</v>
      </c>
      <c r="M21" s="308">
        <v>7582163</v>
      </c>
      <c r="N21" s="308">
        <v>116250</v>
      </c>
      <c r="O21" s="18">
        <v>0</v>
      </c>
      <c r="P21" s="308">
        <v>8791</v>
      </c>
      <c r="Q21" s="308">
        <f t="shared" si="0"/>
        <v>7707204</v>
      </c>
      <c r="S21" s="15">
        <v>178</v>
      </c>
      <c r="T21" s="15">
        <v>178</v>
      </c>
      <c r="U21" s="15">
        <v>312</v>
      </c>
      <c r="V21" s="311">
        <v>178</v>
      </c>
    </row>
    <row r="22" spans="1:22" x14ac:dyDescent="0.2">
      <c r="A22" s="17">
        <v>12</v>
      </c>
      <c r="B22" s="269" t="s">
        <v>907</v>
      </c>
      <c r="C22" s="18">
        <v>56907</v>
      </c>
      <c r="D22" s="18">
        <v>3189</v>
      </c>
      <c r="E22" s="18">
        <v>0</v>
      </c>
      <c r="F22" s="25">
        <v>339</v>
      </c>
      <c r="G22" s="25">
        <f t="shared" si="1"/>
        <v>60435</v>
      </c>
      <c r="H22" s="308">
        <f t="shared" si="2"/>
        <v>38338.247191011236</v>
      </c>
      <c r="I22" s="308">
        <f t="shared" si="3"/>
        <v>2428.2752808988762</v>
      </c>
      <c r="J22" s="308">
        <v>0</v>
      </c>
      <c r="K22" s="308">
        <f t="shared" si="4"/>
        <v>213.79775280898878</v>
      </c>
      <c r="L22" s="308">
        <f t="shared" si="5"/>
        <v>40980.3202247191</v>
      </c>
      <c r="M22" s="308">
        <v>6824208</v>
      </c>
      <c r="N22" s="308">
        <v>432233</v>
      </c>
      <c r="O22" s="18">
        <v>0</v>
      </c>
      <c r="P22" s="308">
        <v>38056</v>
      </c>
      <c r="Q22" s="308">
        <f t="shared" si="0"/>
        <v>7294497</v>
      </c>
      <c r="S22" s="15">
        <v>178</v>
      </c>
      <c r="T22" s="15">
        <v>178</v>
      </c>
      <c r="U22" s="15">
        <v>312</v>
      </c>
      <c r="V22" s="311">
        <v>178</v>
      </c>
    </row>
    <row r="23" spans="1:22" x14ac:dyDescent="0.2">
      <c r="A23" s="17">
        <v>13</v>
      </c>
      <c r="B23" s="176" t="s">
        <v>908</v>
      </c>
      <c r="C23" s="18">
        <v>28616</v>
      </c>
      <c r="D23" s="18">
        <v>418</v>
      </c>
      <c r="E23" s="18">
        <v>0</v>
      </c>
      <c r="F23" s="25">
        <v>96</v>
      </c>
      <c r="G23" s="25">
        <f t="shared" si="1"/>
        <v>29130</v>
      </c>
      <c r="H23" s="308">
        <f t="shared" si="2"/>
        <v>19136.837078651686</v>
      </c>
      <c r="I23" s="308">
        <f t="shared" si="3"/>
        <v>315.70786516853934</v>
      </c>
      <c r="J23" s="308">
        <f>'enrolment vs availed_PY'!O23/U23</f>
        <v>0</v>
      </c>
      <c r="K23" s="308">
        <f t="shared" si="4"/>
        <v>64.337078651685388</v>
      </c>
      <c r="L23" s="308">
        <f t="shared" si="5"/>
        <v>19516.882022471913</v>
      </c>
      <c r="M23" s="308">
        <v>3406357</v>
      </c>
      <c r="N23" s="308">
        <v>56196</v>
      </c>
      <c r="O23" s="18">
        <v>0</v>
      </c>
      <c r="P23" s="308">
        <v>11452</v>
      </c>
      <c r="Q23" s="308">
        <f t="shared" si="0"/>
        <v>3474005</v>
      </c>
      <c r="S23" s="15">
        <v>178</v>
      </c>
      <c r="T23" s="15">
        <v>178</v>
      </c>
      <c r="U23" s="15">
        <v>312</v>
      </c>
      <c r="V23" s="311">
        <v>178</v>
      </c>
    </row>
    <row r="24" spans="1:22" x14ac:dyDescent="0.2">
      <c r="A24" s="17">
        <v>14</v>
      </c>
      <c r="B24" s="176" t="s">
        <v>909</v>
      </c>
      <c r="C24" s="18">
        <v>31278</v>
      </c>
      <c r="D24" s="18">
        <v>189</v>
      </c>
      <c r="E24" s="18">
        <v>0</v>
      </c>
      <c r="F24" s="25">
        <v>222</v>
      </c>
      <c r="G24" s="25">
        <f t="shared" si="1"/>
        <v>31689</v>
      </c>
      <c r="H24" s="308">
        <f t="shared" si="2"/>
        <v>19998.539325842696</v>
      </c>
      <c r="I24" s="308">
        <f t="shared" si="3"/>
        <v>104.21910112359551</v>
      </c>
      <c r="J24" s="308">
        <f>'enrolment vs availed_PY'!O24/U24</f>
        <v>0</v>
      </c>
      <c r="K24" s="308">
        <f t="shared" si="4"/>
        <v>132.9438202247191</v>
      </c>
      <c r="L24" s="308">
        <f t="shared" si="5"/>
        <v>20235.70224719101</v>
      </c>
      <c r="M24" s="308">
        <v>3559740</v>
      </c>
      <c r="N24" s="308">
        <v>18551</v>
      </c>
      <c r="O24" s="18">
        <v>0</v>
      </c>
      <c r="P24" s="308">
        <v>23664</v>
      </c>
      <c r="Q24" s="308">
        <f t="shared" si="0"/>
        <v>3601955</v>
      </c>
      <c r="S24" s="15">
        <v>178</v>
      </c>
      <c r="T24" s="15">
        <v>178</v>
      </c>
      <c r="U24" s="15">
        <v>312</v>
      </c>
      <c r="V24" s="311">
        <v>178</v>
      </c>
    </row>
    <row r="25" spans="1:22" x14ac:dyDescent="0.2">
      <c r="A25" s="17">
        <v>15</v>
      </c>
      <c r="B25" s="176" t="s">
        <v>910</v>
      </c>
      <c r="C25" s="18">
        <v>59985</v>
      </c>
      <c r="D25" s="18">
        <v>397</v>
      </c>
      <c r="E25" s="18">
        <v>0</v>
      </c>
      <c r="F25" s="25">
        <v>151</v>
      </c>
      <c r="G25" s="25">
        <f t="shared" si="1"/>
        <v>60533</v>
      </c>
      <c r="H25" s="308">
        <f t="shared" si="2"/>
        <v>44208.292134831463</v>
      </c>
      <c r="I25" s="308">
        <f t="shared" si="3"/>
        <v>313.08988764044943</v>
      </c>
      <c r="J25" s="308">
        <f>'enrolment vs availed_PY'!O25/U25</f>
        <v>0</v>
      </c>
      <c r="K25" s="308">
        <f t="shared" si="4"/>
        <v>121.47752808988764</v>
      </c>
      <c r="L25" s="308">
        <f t="shared" si="5"/>
        <v>44642.8595505618</v>
      </c>
      <c r="M25" s="308">
        <v>7869076</v>
      </c>
      <c r="N25" s="308">
        <v>55730</v>
      </c>
      <c r="O25" s="18">
        <v>0</v>
      </c>
      <c r="P25" s="308">
        <v>21623</v>
      </c>
      <c r="Q25" s="308">
        <f t="shared" si="0"/>
        <v>7946429</v>
      </c>
      <c r="S25" s="15">
        <v>178</v>
      </c>
      <c r="T25" s="15">
        <v>178</v>
      </c>
      <c r="U25" s="15">
        <v>312</v>
      </c>
      <c r="V25" s="311">
        <v>178</v>
      </c>
    </row>
    <row r="26" spans="1:22" x14ac:dyDescent="0.2">
      <c r="A26" s="17">
        <v>16</v>
      </c>
      <c r="B26" s="176" t="s">
        <v>911</v>
      </c>
      <c r="C26" s="18">
        <v>102296</v>
      </c>
      <c r="D26" s="18">
        <v>2870</v>
      </c>
      <c r="E26" s="18">
        <v>0</v>
      </c>
      <c r="F26" s="25">
        <v>816</v>
      </c>
      <c r="G26" s="25">
        <f t="shared" si="1"/>
        <v>105982</v>
      </c>
      <c r="H26" s="308">
        <f t="shared" si="2"/>
        <v>58025.494382022473</v>
      </c>
      <c r="I26" s="308">
        <f t="shared" si="3"/>
        <v>1573.4382022471909</v>
      </c>
      <c r="J26" s="308">
        <f>'enrolment vs availed_PY'!O26/U26</f>
        <v>0</v>
      </c>
      <c r="K26" s="308">
        <f t="shared" si="4"/>
        <v>420.06179775280901</v>
      </c>
      <c r="L26" s="308">
        <f t="shared" si="5"/>
        <v>60018.994382022473</v>
      </c>
      <c r="M26" s="308">
        <v>10328538</v>
      </c>
      <c r="N26" s="308">
        <v>280072</v>
      </c>
      <c r="O26" s="18">
        <v>0</v>
      </c>
      <c r="P26" s="308">
        <v>74771</v>
      </c>
      <c r="Q26" s="308">
        <f t="shared" si="0"/>
        <v>10683381</v>
      </c>
      <c r="S26" s="15">
        <v>178</v>
      </c>
      <c r="T26" s="15">
        <v>178</v>
      </c>
      <c r="U26" s="15">
        <v>312</v>
      </c>
      <c r="V26" s="311">
        <v>178</v>
      </c>
    </row>
    <row r="27" spans="1:22" x14ac:dyDescent="0.2">
      <c r="A27" s="17">
        <v>17</v>
      </c>
      <c r="B27" s="176" t="s">
        <v>912</v>
      </c>
      <c r="C27" s="18">
        <v>76700</v>
      </c>
      <c r="D27" s="18">
        <v>4387</v>
      </c>
      <c r="E27" s="18">
        <v>0</v>
      </c>
      <c r="F27" s="25">
        <v>126</v>
      </c>
      <c r="G27" s="25">
        <f t="shared" si="1"/>
        <v>81213</v>
      </c>
      <c r="H27" s="308">
        <f t="shared" si="2"/>
        <v>47693.174157303372</v>
      </c>
      <c r="I27" s="308">
        <f t="shared" si="3"/>
        <v>1757.5955056179776</v>
      </c>
      <c r="J27" s="308">
        <f>'enrolment vs availed_PY'!O27/U27</f>
        <v>0</v>
      </c>
      <c r="K27" s="308">
        <f t="shared" si="4"/>
        <v>94.69101123595506</v>
      </c>
      <c r="L27" s="308">
        <f t="shared" si="5"/>
        <v>49545.460674157308</v>
      </c>
      <c r="M27" s="308">
        <v>8489385</v>
      </c>
      <c r="N27" s="308">
        <v>312852</v>
      </c>
      <c r="O27" s="18">
        <v>0</v>
      </c>
      <c r="P27" s="308">
        <v>16855</v>
      </c>
      <c r="Q27" s="308">
        <f t="shared" si="0"/>
        <v>8819092</v>
      </c>
      <c r="S27" s="15">
        <v>178</v>
      </c>
      <c r="T27" s="15">
        <v>178</v>
      </c>
      <c r="U27" s="15">
        <v>312</v>
      </c>
      <c r="V27" s="311">
        <v>178</v>
      </c>
    </row>
    <row r="28" spans="1:22" x14ac:dyDescent="0.2">
      <c r="A28" s="17">
        <v>18</v>
      </c>
      <c r="B28" s="176" t="s">
        <v>913</v>
      </c>
      <c r="C28" s="308">
        <v>61311</v>
      </c>
      <c r="D28" s="308">
        <v>822</v>
      </c>
      <c r="E28" s="308">
        <v>0</v>
      </c>
      <c r="F28" s="25">
        <v>0</v>
      </c>
      <c r="G28" s="25">
        <f t="shared" si="1"/>
        <v>62133</v>
      </c>
      <c r="H28" s="308">
        <f t="shared" si="2"/>
        <v>39156.382022471909</v>
      </c>
      <c r="I28" s="308">
        <f t="shared" si="3"/>
        <v>482.19662921348316</v>
      </c>
      <c r="J28" s="308">
        <f>'enrolment vs availed_PY'!O28/U28</f>
        <v>0</v>
      </c>
      <c r="K28" s="308">
        <f t="shared" si="4"/>
        <v>0</v>
      </c>
      <c r="L28" s="308">
        <f t="shared" si="5"/>
        <v>39638.578651685391</v>
      </c>
      <c r="M28" s="308">
        <v>6969836</v>
      </c>
      <c r="N28" s="308">
        <v>85831</v>
      </c>
      <c r="O28" s="18">
        <v>0</v>
      </c>
      <c r="P28" s="308">
        <v>0</v>
      </c>
      <c r="Q28" s="308">
        <f t="shared" si="0"/>
        <v>7055667</v>
      </c>
      <c r="S28" s="15">
        <v>178</v>
      </c>
      <c r="T28" s="15">
        <v>178</v>
      </c>
      <c r="U28" s="15">
        <v>312</v>
      </c>
      <c r="V28" s="311">
        <v>178</v>
      </c>
    </row>
    <row r="29" spans="1:22" x14ac:dyDescent="0.2">
      <c r="A29" s="17">
        <v>19</v>
      </c>
      <c r="B29" s="176" t="s">
        <v>914</v>
      </c>
      <c r="C29" s="18">
        <v>60902</v>
      </c>
      <c r="D29" s="18">
        <v>1708</v>
      </c>
      <c r="E29" s="18">
        <v>0</v>
      </c>
      <c r="F29" s="25">
        <v>183</v>
      </c>
      <c r="G29" s="25">
        <f t="shared" si="1"/>
        <v>62793</v>
      </c>
      <c r="H29" s="308">
        <f t="shared" si="2"/>
        <v>36472.3595505618</v>
      </c>
      <c r="I29" s="308">
        <f t="shared" si="3"/>
        <v>1237.0505617977528</v>
      </c>
      <c r="J29" s="308">
        <v>0</v>
      </c>
      <c r="K29" s="308">
        <f t="shared" si="4"/>
        <v>118.21910112359551</v>
      </c>
      <c r="L29" s="308">
        <f t="shared" si="5"/>
        <v>37827.629213483153</v>
      </c>
      <c r="M29" s="308">
        <v>6492080</v>
      </c>
      <c r="N29" s="308">
        <v>220195</v>
      </c>
      <c r="O29" s="18">
        <v>0</v>
      </c>
      <c r="P29" s="308">
        <v>21043</v>
      </c>
      <c r="Q29" s="308">
        <f t="shared" si="0"/>
        <v>6733318</v>
      </c>
      <c r="S29" s="15">
        <v>178</v>
      </c>
      <c r="T29" s="15">
        <v>178</v>
      </c>
      <c r="U29" s="15">
        <v>312</v>
      </c>
      <c r="V29" s="311">
        <v>178</v>
      </c>
    </row>
    <row r="30" spans="1:22" x14ac:dyDescent="0.2">
      <c r="A30" s="17">
        <v>20</v>
      </c>
      <c r="B30" s="176" t="s">
        <v>915</v>
      </c>
      <c r="C30" s="18">
        <v>36541</v>
      </c>
      <c r="D30" s="18">
        <v>313</v>
      </c>
      <c r="E30" s="18">
        <v>0</v>
      </c>
      <c r="F30" s="25">
        <v>136</v>
      </c>
      <c r="G30" s="25">
        <f t="shared" si="1"/>
        <v>36990</v>
      </c>
      <c r="H30" s="308">
        <f t="shared" si="2"/>
        <v>19611.112359550563</v>
      </c>
      <c r="I30" s="308">
        <f t="shared" si="3"/>
        <v>179.56741573033707</v>
      </c>
      <c r="J30" s="308">
        <f>'enrolment vs availed_PY'!O30/U30</f>
        <v>0</v>
      </c>
      <c r="K30" s="308">
        <f t="shared" si="4"/>
        <v>68.825842696629209</v>
      </c>
      <c r="L30" s="308">
        <f t="shared" si="5"/>
        <v>19859.505617977527</v>
      </c>
      <c r="M30" s="308">
        <v>3490778</v>
      </c>
      <c r="N30" s="308">
        <v>31963</v>
      </c>
      <c r="O30" s="18">
        <v>0</v>
      </c>
      <c r="P30" s="308">
        <v>12251</v>
      </c>
      <c r="Q30" s="308">
        <f t="shared" si="0"/>
        <v>3534992</v>
      </c>
      <c r="S30" s="15">
        <v>178</v>
      </c>
      <c r="T30" s="15">
        <v>178</v>
      </c>
      <c r="U30" s="15">
        <v>312</v>
      </c>
      <c r="V30" s="311">
        <v>178</v>
      </c>
    </row>
    <row r="31" spans="1:22" x14ac:dyDescent="0.2">
      <c r="A31" s="17">
        <v>21</v>
      </c>
      <c r="B31" s="176" t="s">
        <v>916</v>
      </c>
      <c r="C31" s="18">
        <v>52074</v>
      </c>
      <c r="D31" s="18">
        <v>1646</v>
      </c>
      <c r="E31" s="18">
        <v>0</v>
      </c>
      <c r="F31" s="25">
        <v>2689</v>
      </c>
      <c r="G31" s="25">
        <f t="shared" si="1"/>
        <v>56409</v>
      </c>
      <c r="H31" s="308">
        <f t="shared" si="2"/>
        <v>29745.696629213482</v>
      </c>
      <c r="I31" s="308">
        <f t="shared" si="3"/>
        <v>492.06179775280901</v>
      </c>
      <c r="J31" s="308">
        <f>'enrolment vs availed_PY'!O31/U31</f>
        <v>0</v>
      </c>
      <c r="K31" s="308">
        <f t="shared" si="4"/>
        <v>1417.0505617977528</v>
      </c>
      <c r="L31" s="308">
        <f t="shared" si="5"/>
        <v>31654.808988764045</v>
      </c>
      <c r="M31" s="308">
        <v>5294734</v>
      </c>
      <c r="N31" s="308">
        <v>87587</v>
      </c>
      <c r="O31" s="18">
        <v>0</v>
      </c>
      <c r="P31" s="308">
        <v>252235</v>
      </c>
      <c r="Q31" s="308">
        <f t="shared" si="0"/>
        <v>5634556</v>
      </c>
      <c r="S31" s="15">
        <v>178</v>
      </c>
      <c r="T31" s="15">
        <v>178</v>
      </c>
      <c r="U31" s="15">
        <v>312</v>
      </c>
      <c r="V31" s="311">
        <v>178</v>
      </c>
    </row>
    <row r="32" spans="1:22" x14ac:dyDescent="0.2">
      <c r="A32" s="17">
        <v>22</v>
      </c>
      <c r="B32" s="176" t="s">
        <v>917</v>
      </c>
      <c r="C32" s="18">
        <v>30423</v>
      </c>
      <c r="D32" s="18">
        <v>2265</v>
      </c>
      <c r="E32" s="18">
        <v>0</v>
      </c>
      <c r="F32" s="25">
        <v>1915</v>
      </c>
      <c r="G32" s="25">
        <f t="shared" si="1"/>
        <v>34603</v>
      </c>
      <c r="H32" s="308">
        <f t="shared" si="2"/>
        <v>15233.786516853932</v>
      </c>
      <c r="I32" s="308">
        <f t="shared" si="3"/>
        <v>1134.1404494382023</v>
      </c>
      <c r="J32" s="308">
        <v>0</v>
      </c>
      <c r="K32" s="308">
        <f t="shared" si="4"/>
        <v>959.06179775280896</v>
      </c>
      <c r="L32" s="308">
        <f t="shared" si="5"/>
        <v>17326.988764044941</v>
      </c>
      <c r="M32" s="308">
        <v>2711614</v>
      </c>
      <c r="N32" s="308">
        <v>201877</v>
      </c>
      <c r="O32" s="18">
        <v>0</v>
      </c>
      <c r="P32" s="308">
        <v>170713</v>
      </c>
      <c r="Q32" s="308">
        <f t="shared" si="0"/>
        <v>3084204</v>
      </c>
      <c r="S32" s="15">
        <v>178</v>
      </c>
      <c r="T32" s="15">
        <v>178</v>
      </c>
      <c r="U32" s="15">
        <v>312</v>
      </c>
      <c r="V32" s="311">
        <v>178</v>
      </c>
    </row>
    <row r="33" spans="1:44" x14ac:dyDescent="0.2">
      <c r="A33" s="17">
        <v>23</v>
      </c>
      <c r="B33" s="176" t="s">
        <v>918</v>
      </c>
      <c r="C33" s="18">
        <v>53837</v>
      </c>
      <c r="D33" s="18">
        <v>1202</v>
      </c>
      <c r="E33" s="18">
        <v>0</v>
      </c>
      <c r="F33" s="25">
        <v>3409</v>
      </c>
      <c r="G33" s="25">
        <f t="shared" si="1"/>
        <v>58448</v>
      </c>
      <c r="H33" s="308">
        <f t="shared" si="2"/>
        <v>32903.3202247191</v>
      </c>
      <c r="I33" s="308">
        <f t="shared" si="3"/>
        <v>954.71910112359546</v>
      </c>
      <c r="J33" s="308">
        <f>'enrolment vs availed_PY'!O33/U33</f>
        <v>0</v>
      </c>
      <c r="K33" s="308">
        <f t="shared" si="4"/>
        <v>2028.7247191011236</v>
      </c>
      <c r="L33" s="308">
        <f t="shared" si="5"/>
        <v>35886.764044943819</v>
      </c>
      <c r="M33" s="308">
        <v>5856791</v>
      </c>
      <c r="N33" s="308">
        <v>169940</v>
      </c>
      <c r="O33" s="18">
        <v>0</v>
      </c>
      <c r="P33" s="308">
        <v>361113</v>
      </c>
      <c r="Q33" s="308">
        <f t="shared" si="0"/>
        <v>6387844</v>
      </c>
      <c r="S33" s="15">
        <v>178</v>
      </c>
      <c r="T33" s="15">
        <v>178</v>
      </c>
      <c r="U33" s="15">
        <v>312</v>
      </c>
      <c r="V33" s="311">
        <v>178</v>
      </c>
    </row>
    <row r="34" spans="1:44" x14ac:dyDescent="0.2">
      <c r="A34" s="17">
        <v>24</v>
      </c>
      <c r="B34" s="176" t="s">
        <v>919</v>
      </c>
      <c r="C34" s="18">
        <v>75151</v>
      </c>
      <c r="D34" s="18">
        <v>346</v>
      </c>
      <c r="E34" s="18">
        <v>0</v>
      </c>
      <c r="F34" s="25">
        <v>329</v>
      </c>
      <c r="G34" s="25">
        <f t="shared" si="1"/>
        <v>75826</v>
      </c>
      <c r="H34" s="308">
        <f t="shared" si="2"/>
        <v>48642.078651685391</v>
      </c>
      <c r="I34" s="308">
        <f t="shared" si="3"/>
        <v>215.90449438202248</v>
      </c>
      <c r="J34" s="308">
        <f>'enrolment vs availed_PY'!O34/U34</f>
        <v>0</v>
      </c>
      <c r="K34" s="308">
        <f t="shared" si="4"/>
        <v>206.38202247191012</v>
      </c>
      <c r="L34" s="308">
        <f t="shared" si="5"/>
        <v>49064.36516853932</v>
      </c>
      <c r="M34" s="308">
        <v>8658290</v>
      </c>
      <c r="N34" s="308">
        <v>38431</v>
      </c>
      <c r="O34" s="18">
        <v>0</v>
      </c>
      <c r="P34" s="308">
        <v>36736</v>
      </c>
      <c r="Q34" s="308">
        <f t="shared" si="0"/>
        <v>8733457</v>
      </c>
      <c r="S34" s="15">
        <v>178</v>
      </c>
      <c r="T34" s="15">
        <v>178</v>
      </c>
      <c r="U34" s="15">
        <v>312</v>
      </c>
      <c r="V34" s="311">
        <v>178</v>
      </c>
    </row>
    <row r="35" spans="1:44" s="14" customFormat="1" x14ac:dyDescent="0.2">
      <c r="A35" s="798" t="s">
        <v>18</v>
      </c>
      <c r="B35" s="800"/>
      <c r="C35" s="27">
        <f>SUM(C11:C34)</f>
        <v>1288580</v>
      </c>
      <c r="D35" s="27">
        <f>SUM(D11:D34)</f>
        <v>89059</v>
      </c>
      <c r="E35" s="27">
        <f>SUM(E11:E34)</f>
        <v>0</v>
      </c>
      <c r="F35" s="309">
        <f>SUM(F11:F34)</f>
        <v>11166</v>
      </c>
      <c r="G35" s="309">
        <f>SUM(C35:F35)</f>
        <v>1388805</v>
      </c>
      <c r="H35" s="310">
        <f t="shared" ref="H35:Q35" si="6">SUM(H11:H34)</f>
        <v>806627.09550561802</v>
      </c>
      <c r="I35" s="310">
        <f t="shared" si="6"/>
        <v>59841.724719101127</v>
      </c>
      <c r="J35" s="310">
        <f t="shared" si="6"/>
        <v>0</v>
      </c>
      <c r="K35" s="310">
        <f t="shared" si="6"/>
        <v>6392.0337078651692</v>
      </c>
      <c r="L35" s="310">
        <f t="shared" si="6"/>
        <v>872860.85393258452</v>
      </c>
      <c r="M35" s="27">
        <f t="shared" si="6"/>
        <v>143579623</v>
      </c>
      <c r="N35" s="27">
        <f t="shared" si="6"/>
        <v>10651827</v>
      </c>
      <c r="O35" s="27">
        <f t="shared" si="6"/>
        <v>0</v>
      </c>
      <c r="P35" s="27">
        <f t="shared" si="6"/>
        <v>1137782</v>
      </c>
      <c r="Q35" s="27">
        <f t="shared" si="6"/>
        <v>155369232</v>
      </c>
    </row>
    <row r="36" spans="1:44" x14ac:dyDescent="0.2">
      <c r="A36" s="6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44" x14ac:dyDescent="0.2">
      <c r="A37" s="10" t="s">
        <v>7</v>
      </c>
      <c r="B37"/>
      <c r="C37"/>
      <c r="D37"/>
    </row>
    <row r="38" spans="1:44" x14ac:dyDescent="0.2">
      <c r="A38" t="s">
        <v>8</v>
      </c>
      <c r="B38"/>
      <c r="C38"/>
      <c r="D38"/>
    </row>
    <row r="39" spans="1:44" x14ac:dyDescent="0.2">
      <c r="A39" t="s">
        <v>9</v>
      </c>
      <c r="B39"/>
      <c r="C39"/>
      <c r="D39"/>
      <c r="I39" s="11"/>
      <c r="J39" s="11"/>
      <c r="K39" s="11"/>
      <c r="L39" s="11"/>
    </row>
    <row r="40" spans="1:44" customFormat="1" x14ac:dyDescent="0.2">
      <c r="A40" s="15" t="s">
        <v>425</v>
      </c>
      <c r="J40" s="11"/>
      <c r="K40" s="11"/>
      <c r="L40" s="11"/>
    </row>
    <row r="41" spans="1:44" customFormat="1" x14ac:dyDescent="0.2">
      <c r="C41" s="15" t="s">
        <v>427</v>
      </c>
      <c r="E41" s="12"/>
      <c r="F41" s="12"/>
      <c r="G41" s="12"/>
      <c r="H41" s="12"/>
      <c r="I41" s="12"/>
      <c r="J41" s="12"/>
      <c r="K41" s="12"/>
      <c r="L41" s="12"/>
      <c r="M41" s="12"/>
    </row>
    <row r="43" spans="1:44" ht="12.75" customHeight="1" x14ac:dyDescent="0.2">
      <c r="A43" s="14" t="s">
        <v>11</v>
      </c>
      <c r="B43" s="14"/>
      <c r="C43" s="14"/>
      <c r="D43" s="14"/>
      <c r="E43" s="14"/>
      <c r="F43" s="14"/>
      <c r="G43" s="14"/>
      <c r="I43" s="14"/>
      <c r="M43" s="821" t="s">
        <v>12</v>
      </c>
      <c r="N43" s="821"/>
      <c r="O43" s="667"/>
      <c r="P43" s="667"/>
      <c r="Q43" s="667"/>
    </row>
    <row r="44" spans="1:44" ht="12.75" customHeight="1" x14ac:dyDescent="0.2">
      <c r="A44" s="667"/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821" t="s">
        <v>13</v>
      </c>
      <c r="N44" s="821"/>
      <c r="O44" s="821"/>
      <c r="P44" s="821"/>
      <c r="Q44" s="667"/>
    </row>
    <row r="45" spans="1:44" ht="12.75" customHeight="1" x14ac:dyDescent="0.2">
      <c r="A45" s="821" t="s">
        <v>92</v>
      </c>
      <c r="B45" s="821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/>
      <c r="S45" s="821"/>
    </row>
    <row r="46" spans="1:44" x14ac:dyDescent="0.2">
      <c r="A46" s="14"/>
      <c r="B46" s="14"/>
      <c r="C46" s="14"/>
      <c r="D46" s="14"/>
      <c r="E46" s="14"/>
      <c r="F46" s="14"/>
      <c r="L46" s="33" t="s">
        <v>84</v>
      </c>
      <c r="N46" s="33" t="s">
        <v>84</v>
      </c>
      <c r="O46" s="33"/>
      <c r="P46" s="33"/>
      <c r="Q46" s="33"/>
    </row>
    <row r="47" spans="1:44" x14ac:dyDescent="0.2">
      <c r="A47" s="932"/>
      <c r="B47" s="932"/>
      <c r="C47" s="932"/>
      <c r="D47" s="932"/>
      <c r="E47" s="932"/>
      <c r="F47" s="932"/>
      <c r="G47" s="932"/>
      <c r="H47" s="932"/>
      <c r="I47" s="932"/>
      <c r="J47" s="932"/>
      <c r="K47" s="932"/>
      <c r="L47" s="932"/>
    </row>
    <row r="48" spans="1:44" ht="12.75" customHeight="1" x14ac:dyDescent="0.2">
      <c r="Z48" s="667" t="s">
        <v>92</v>
      </c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</row>
    <row r="78" spans="7:7" x14ac:dyDescent="0.2">
      <c r="G78" s="15">
        <v>2792149</v>
      </c>
    </row>
    <row r="79" spans="7:7" x14ac:dyDescent="0.2">
      <c r="G79" s="15">
        <v>1388805</v>
      </c>
    </row>
    <row r="80" spans="7:7" x14ac:dyDescent="0.2">
      <c r="G80" s="15">
        <f>SUM(G78:G79)</f>
        <v>4180954</v>
      </c>
    </row>
  </sheetData>
  <mergeCells count="16">
    <mergeCell ref="A45:S45"/>
    <mergeCell ref="A35:B35"/>
    <mergeCell ref="A47:L47"/>
    <mergeCell ref="M43:N43"/>
    <mergeCell ref="M44:P44"/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  <mergeCell ref="H8:L8"/>
  </mergeCells>
  <phoneticPr fontId="0" type="noConversion"/>
  <printOptions horizontalCentered="1"/>
  <pageMargins left="0.32" right="0.3" top="0.23622047244094491" bottom="0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41"/>
  <sheetViews>
    <sheetView topLeftCell="A4" zoomScaleNormal="100" zoomScaleSheetLayoutView="100" workbookViewId="0">
      <selection activeCell="G33" sqref="G33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918" t="s">
        <v>0</v>
      </c>
      <c r="B1" s="918"/>
      <c r="C1" s="918"/>
      <c r="D1" s="918"/>
      <c r="E1" s="918"/>
      <c r="G1" s="170" t="s">
        <v>630</v>
      </c>
    </row>
    <row r="2" spans="1:7" ht="21" x14ac:dyDescent="0.35">
      <c r="A2" s="919" t="s">
        <v>740</v>
      </c>
      <c r="B2" s="919"/>
      <c r="C2" s="919"/>
      <c r="D2" s="919"/>
      <c r="E2" s="919"/>
      <c r="F2" s="919"/>
    </row>
    <row r="3" spans="1:7" ht="15" x14ac:dyDescent="0.3">
      <c r="A3" s="171"/>
      <c r="B3" s="171"/>
    </row>
    <row r="4" spans="1:7" ht="18" customHeight="1" x14ac:dyDescent="0.35">
      <c r="A4" s="920" t="s">
        <v>631</v>
      </c>
      <c r="B4" s="920"/>
      <c r="C4" s="920"/>
      <c r="D4" s="920"/>
      <c r="E4" s="920"/>
      <c r="F4" s="920"/>
    </row>
    <row r="5" spans="1:7" ht="15" x14ac:dyDescent="0.3">
      <c r="A5" s="172" t="s">
        <v>920</v>
      </c>
      <c r="B5" s="172"/>
    </row>
    <row r="6" spans="1:7" ht="15" x14ac:dyDescent="0.3">
      <c r="A6" s="172"/>
      <c r="B6" s="172"/>
      <c r="F6" s="921" t="s">
        <v>830</v>
      </c>
      <c r="G6" s="921"/>
    </row>
    <row r="7" spans="1:7" ht="42" customHeight="1" x14ac:dyDescent="0.2">
      <c r="A7" s="173" t="s">
        <v>2</v>
      </c>
      <c r="B7" s="173" t="s">
        <v>3</v>
      </c>
      <c r="C7" s="231" t="s">
        <v>632</v>
      </c>
      <c r="D7" s="231" t="s">
        <v>633</v>
      </c>
      <c r="E7" s="231" t="s">
        <v>634</v>
      </c>
      <c r="F7" s="231" t="s">
        <v>635</v>
      </c>
      <c r="G7" s="227" t="s">
        <v>636</v>
      </c>
    </row>
    <row r="8" spans="1:7" s="170" customFormat="1" ht="15" x14ac:dyDescent="0.25">
      <c r="A8" s="519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</row>
    <row r="9" spans="1:7" s="170" customFormat="1" ht="15" x14ac:dyDescent="0.25">
      <c r="A9" s="8">
        <v>1</v>
      </c>
      <c r="B9" s="176" t="s">
        <v>896</v>
      </c>
      <c r="C9" s="9">
        <f>'enrolment vs availed_PY'!G11+'enrolment vs availed_UPY'!G11</f>
        <v>235094</v>
      </c>
      <c r="D9" s="368">
        <v>230979</v>
      </c>
      <c r="E9" s="368">
        <v>3173</v>
      </c>
      <c r="F9" s="368">
        <f>C9-D9-E9-G9</f>
        <v>942</v>
      </c>
      <c r="G9" s="368">
        <v>0</v>
      </c>
    </row>
    <row r="10" spans="1:7" s="170" customFormat="1" ht="15" x14ac:dyDescent="0.25">
      <c r="A10" s="8">
        <v>2</v>
      </c>
      <c r="B10" s="176" t="s">
        <v>897</v>
      </c>
      <c r="C10" s="9">
        <f>'enrolment vs availed_PY'!G12+'enrolment vs availed_UPY'!G12</f>
        <v>76611</v>
      </c>
      <c r="D10" s="368">
        <v>61140</v>
      </c>
      <c r="E10" s="368">
        <v>6162</v>
      </c>
      <c r="F10" s="368">
        <f t="shared" ref="F10:F32" si="0">C10-D10-E10-G10</f>
        <v>8347</v>
      </c>
      <c r="G10" s="368">
        <v>962</v>
      </c>
    </row>
    <row r="11" spans="1:7" s="170" customFormat="1" ht="15" x14ac:dyDescent="0.25">
      <c r="A11" s="8">
        <v>3</v>
      </c>
      <c r="B11" s="176" t="s">
        <v>898</v>
      </c>
      <c r="C11" s="9">
        <f>'enrolment vs availed_PY'!G13+'enrolment vs availed_UPY'!G13</f>
        <v>65515</v>
      </c>
      <c r="D11" s="368">
        <v>63549.549999999996</v>
      </c>
      <c r="E11" s="368">
        <v>1310.3</v>
      </c>
      <c r="F11" s="368">
        <f t="shared" si="0"/>
        <v>655.15000000000441</v>
      </c>
      <c r="G11" s="368">
        <v>0</v>
      </c>
    </row>
    <row r="12" spans="1:7" s="170" customFormat="1" ht="15" x14ac:dyDescent="0.25">
      <c r="A12" s="8">
        <v>4</v>
      </c>
      <c r="B12" s="176" t="s">
        <v>899</v>
      </c>
      <c r="C12" s="9">
        <f>'enrolment vs availed_PY'!G14+'enrolment vs availed_UPY'!G14</f>
        <v>168669</v>
      </c>
      <c r="D12" s="368">
        <v>143235</v>
      </c>
      <c r="E12" s="368">
        <v>25434</v>
      </c>
      <c r="F12" s="368">
        <f t="shared" si="0"/>
        <v>0</v>
      </c>
      <c r="G12" s="368">
        <v>0</v>
      </c>
    </row>
    <row r="13" spans="1:7" s="170" customFormat="1" ht="15" x14ac:dyDescent="0.25">
      <c r="A13" s="8">
        <v>5</v>
      </c>
      <c r="B13" s="176" t="s">
        <v>900</v>
      </c>
      <c r="C13" s="9">
        <f>'enrolment vs availed_PY'!G15+'enrolment vs availed_UPY'!G15</f>
        <v>92484</v>
      </c>
      <c r="D13" s="368">
        <v>92450</v>
      </c>
      <c r="E13" s="368">
        <v>34</v>
      </c>
      <c r="F13" s="368">
        <f t="shared" si="0"/>
        <v>0</v>
      </c>
      <c r="G13" s="368">
        <v>0</v>
      </c>
    </row>
    <row r="14" spans="1:7" s="170" customFormat="1" ht="15" x14ac:dyDescent="0.25">
      <c r="A14" s="8">
        <v>6</v>
      </c>
      <c r="B14" s="176" t="s">
        <v>901</v>
      </c>
      <c r="C14" s="9">
        <f>'enrolment vs availed_PY'!G16+'enrolment vs availed_UPY'!G16</f>
        <v>173133</v>
      </c>
      <c r="D14" s="368">
        <v>131883</v>
      </c>
      <c r="E14" s="368">
        <v>4014</v>
      </c>
      <c r="F14" s="368">
        <f t="shared" si="0"/>
        <v>37236</v>
      </c>
      <c r="G14" s="368">
        <v>0</v>
      </c>
    </row>
    <row r="15" spans="1:7" s="170" customFormat="1" ht="15" x14ac:dyDescent="0.25">
      <c r="A15" s="8">
        <v>7</v>
      </c>
      <c r="B15" s="176" t="s">
        <v>902</v>
      </c>
      <c r="C15" s="9">
        <f>'enrolment vs availed_PY'!G17+'enrolment vs availed_UPY'!G17</f>
        <v>118997</v>
      </c>
      <c r="D15" s="368">
        <v>118522</v>
      </c>
      <c r="E15" s="368">
        <v>342</v>
      </c>
      <c r="F15" s="368">
        <f t="shared" si="0"/>
        <v>133</v>
      </c>
      <c r="G15" s="368">
        <v>0</v>
      </c>
    </row>
    <row r="16" spans="1:7" s="170" customFormat="1" ht="15" x14ac:dyDescent="0.25">
      <c r="A16" s="8">
        <v>8</v>
      </c>
      <c r="B16" s="176" t="s">
        <v>903</v>
      </c>
      <c r="C16" s="9">
        <f>'enrolment vs availed_PY'!G18+'enrolment vs availed_UPY'!G18</f>
        <v>253745</v>
      </c>
      <c r="D16" s="368">
        <v>211882</v>
      </c>
      <c r="E16" s="368">
        <v>26072</v>
      </c>
      <c r="F16" s="368">
        <f t="shared" si="0"/>
        <v>15760</v>
      </c>
      <c r="G16" s="368">
        <v>31</v>
      </c>
    </row>
    <row r="17" spans="1:7" s="170" customFormat="1" ht="15" x14ac:dyDescent="0.25">
      <c r="A17" s="8">
        <v>9</v>
      </c>
      <c r="B17" s="176" t="s">
        <v>904</v>
      </c>
      <c r="C17" s="9">
        <f>'enrolment vs availed_PY'!G19+'enrolment vs availed_UPY'!G19</f>
        <v>350137</v>
      </c>
      <c r="D17" s="368">
        <v>250625</v>
      </c>
      <c r="E17" s="368">
        <v>13608</v>
      </c>
      <c r="F17" s="368">
        <f t="shared" si="0"/>
        <v>85904</v>
      </c>
      <c r="G17" s="368"/>
    </row>
    <row r="18" spans="1:7" s="170" customFormat="1" ht="15" x14ac:dyDescent="0.25">
      <c r="A18" s="8">
        <v>10</v>
      </c>
      <c r="B18" s="176" t="s">
        <v>905</v>
      </c>
      <c r="C18" s="9">
        <f>'enrolment vs availed_PY'!G20+'enrolment vs availed_UPY'!G20</f>
        <v>130465</v>
      </c>
      <c r="D18" s="368">
        <v>120033</v>
      </c>
      <c r="E18" s="368">
        <v>10432</v>
      </c>
      <c r="F18" s="368">
        <f t="shared" si="0"/>
        <v>0</v>
      </c>
      <c r="G18" s="368"/>
    </row>
    <row r="19" spans="1:7" s="170" customFormat="1" ht="15" x14ac:dyDescent="0.25">
      <c r="A19" s="8">
        <v>11</v>
      </c>
      <c r="B19" s="176" t="s">
        <v>906</v>
      </c>
      <c r="C19" s="9">
        <f>'enrolment vs availed_PY'!G21+'enrolment vs availed_UPY'!G21</f>
        <v>212692</v>
      </c>
      <c r="D19" s="368">
        <v>180299</v>
      </c>
      <c r="E19" s="368">
        <v>20681</v>
      </c>
      <c r="F19" s="368">
        <f t="shared" si="0"/>
        <v>11712</v>
      </c>
      <c r="G19" s="368">
        <v>0</v>
      </c>
    </row>
    <row r="20" spans="1:7" s="170" customFormat="1" ht="15" x14ac:dyDescent="0.25">
      <c r="A20" s="8">
        <v>12</v>
      </c>
      <c r="B20" s="269" t="s">
        <v>907</v>
      </c>
      <c r="C20" s="9">
        <f>'enrolment vs availed_PY'!G22+'enrolment vs availed_UPY'!G22</f>
        <v>174168</v>
      </c>
      <c r="D20" s="368">
        <v>100065</v>
      </c>
      <c r="E20" s="368">
        <v>14954</v>
      </c>
      <c r="F20" s="368">
        <f t="shared" si="0"/>
        <v>59149</v>
      </c>
      <c r="G20" s="368">
        <v>0</v>
      </c>
    </row>
    <row r="21" spans="1:7" s="170" customFormat="1" ht="15" x14ac:dyDescent="0.25">
      <c r="A21" s="8">
        <v>13</v>
      </c>
      <c r="B21" s="176" t="s">
        <v>908</v>
      </c>
      <c r="C21" s="9">
        <f>'enrolment vs availed_PY'!G23+'enrolment vs availed_UPY'!G23</f>
        <v>74162</v>
      </c>
      <c r="D21" s="368">
        <v>70055</v>
      </c>
      <c r="E21" s="368">
        <v>3730</v>
      </c>
      <c r="F21" s="368">
        <f t="shared" si="0"/>
        <v>377</v>
      </c>
      <c r="G21" s="368">
        <v>0</v>
      </c>
    </row>
    <row r="22" spans="1:7" s="170" customFormat="1" ht="15" x14ac:dyDescent="0.25">
      <c r="A22" s="8">
        <v>14</v>
      </c>
      <c r="B22" s="176" t="s">
        <v>909</v>
      </c>
      <c r="C22" s="9">
        <f>'enrolment vs availed_PY'!G24+'enrolment vs availed_UPY'!G24</f>
        <v>87136</v>
      </c>
      <c r="D22" s="368">
        <v>80147</v>
      </c>
      <c r="E22" s="368">
        <v>2202</v>
      </c>
      <c r="F22" s="368">
        <f t="shared" si="0"/>
        <v>4787</v>
      </c>
      <c r="G22" s="368">
        <v>0</v>
      </c>
    </row>
    <row r="23" spans="1:7" s="170" customFormat="1" ht="15" x14ac:dyDescent="0.25">
      <c r="A23" s="8">
        <v>15</v>
      </c>
      <c r="B23" s="176" t="s">
        <v>910</v>
      </c>
      <c r="C23" s="9">
        <f>'enrolment vs availed_PY'!G25+'enrolment vs availed_UPY'!G25</f>
        <v>176779</v>
      </c>
      <c r="D23" s="368">
        <v>139655.41000000003</v>
      </c>
      <c r="E23" s="368">
        <v>26516.85</v>
      </c>
      <c r="F23" s="368">
        <f t="shared" si="0"/>
        <v>8818.7399999999689</v>
      </c>
      <c r="G23" s="368">
        <v>1788</v>
      </c>
    </row>
    <row r="24" spans="1:7" s="170" customFormat="1" ht="15" x14ac:dyDescent="0.25">
      <c r="A24" s="8">
        <v>16</v>
      </c>
      <c r="B24" s="176" t="s">
        <v>911</v>
      </c>
      <c r="C24" s="9">
        <f>'enrolment vs availed_PY'!G26+'enrolment vs availed_UPY'!G26</f>
        <v>345077</v>
      </c>
      <c r="D24" s="368">
        <v>293672</v>
      </c>
      <c r="E24" s="368">
        <v>18378</v>
      </c>
      <c r="F24" s="368">
        <f t="shared" si="0"/>
        <v>33027</v>
      </c>
      <c r="G24" s="368">
        <v>0</v>
      </c>
    </row>
    <row r="25" spans="1:7" s="170" customFormat="1" ht="15" x14ac:dyDescent="0.25">
      <c r="A25" s="8">
        <v>17</v>
      </c>
      <c r="B25" s="176" t="s">
        <v>912</v>
      </c>
      <c r="C25" s="9">
        <f>'enrolment vs availed_PY'!G27+'enrolment vs availed_UPY'!G27</f>
        <v>206311</v>
      </c>
      <c r="D25" s="368">
        <v>186769</v>
      </c>
      <c r="E25" s="368">
        <v>5642</v>
      </c>
      <c r="F25" s="368">
        <f t="shared" si="0"/>
        <v>13900</v>
      </c>
      <c r="G25" s="368">
        <v>0</v>
      </c>
    </row>
    <row r="26" spans="1:7" s="170" customFormat="1" ht="15" x14ac:dyDescent="0.25">
      <c r="A26" s="8">
        <v>18</v>
      </c>
      <c r="B26" s="176" t="s">
        <v>913</v>
      </c>
      <c r="C26" s="9">
        <f>'enrolment vs availed_PY'!G28+'enrolment vs availed_UPY'!G28</f>
        <v>166510</v>
      </c>
      <c r="D26" s="368">
        <v>151062</v>
      </c>
      <c r="E26" s="368">
        <v>4634</v>
      </c>
      <c r="F26" s="368">
        <f t="shared" si="0"/>
        <v>10814</v>
      </c>
      <c r="G26" s="368">
        <v>0</v>
      </c>
    </row>
    <row r="27" spans="1:7" s="170" customFormat="1" ht="15" x14ac:dyDescent="0.25">
      <c r="A27" s="8">
        <v>19</v>
      </c>
      <c r="B27" s="176" t="s">
        <v>914</v>
      </c>
      <c r="C27" s="9">
        <f>'enrolment vs availed_PY'!G29+'enrolment vs availed_UPY'!G29</f>
        <v>198241</v>
      </c>
      <c r="D27" s="368">
        <v>144587</v>
      </c>
      <c r="E27" s="368">
        <v>25927.000000000004</v>
      </c>
      <c r="F27" s="368">
        <f t="shared" si="0"/>
        <v>27726.999999999996</v>
      </c>
      <c r="G27" s="368">
        <v>0</v>
      </c>
    </row>
    <row r="28" spans="1:7" s="170" customFormat="1" ht="15" x14ac:dyDescent="0.25">
      <c r="A28" s="8">
        <v>20</v>
      </c>
      <c r="B28" s="176" t="s">
        <v>915</v>
      </c>
      <c r="C28" s="9">
        <f>'enrolment vs availed_PY'!G30+'enrolment vs availed_UPY'!G30</f>
        <v>108985</v>
      </c>
      <c r="D28" s="368">
        <v>106605</v>
      </c>
      <c r="E28" s="368">
        <v>666</v>
      </c>
      <c r="F28" s="368">
        <f t="shared" si="0"/>
        <v>1714</v>
      </c>
      <c r="G28" s="368">
        <v>0</v>
      </c>
    </row>
    <row r="29" spans="1:7" s="170" customFormat="1" ht="15" x14ac:dyDescent="0.25">
      <c r="A29" s="8">
        <v>21</v>
      </c>
      <c r="B29" s="176" t="s">
        <v>916</v>
      </c>
      <c r="C29" s="9">
        <f>'enrolment vs availed_PY'!G31+'enrolment vs availed_UPY'!G31</f>
        <v>191885</v>
      </c>
      <c r="D29" s="308">
        <f>187126-4160</f>
        <v>182966</v>
      </c>
      <c r="E29" s="308">
        <v>2331</v>
      </c>
      <c r="F29" s="368">
        <f t="shared" si="0"/>
        <v>0</v>
      </c>
      <c r="G29" s="308">
        <v>6588</v>
      </c>
    </row>
    <row r="30" spans="1:7" s="170" customFormat="1" ht="15" x14ac:dyDescent="0.25">
      <c r="A30" s="8">
        <v>22</v>
      </c>
      <c r="B30" s="176" t="s">
        <v>917</v>
      </c>
      <c r="C30" s="9">
        <f>'enrolment vs availed_PY'!G32+'enrolment vs availed_UPY'!G32</f>
        <v>143632</v>
      </c>
      <c r="D30" s="368">
        <v>143632</v>
      </c>
      <c r="E30" s="368">
        <v>0</v>
      </c>
      <c r="F30" s="368">
        <f t="shared" si="0"/>
        <v>0</v>
      </c>
      <c r="G30" s="368">
        <v>0</v>
      </c>
    </row>
    <row r="31" spans="1:7" s="170" customFormat="1" ht="15" x14ac:dyDescent="0.25">
      <c r="A31" s="8">
        <v>23</v>
      </c>
      <c r="B31" s="176" t="s">
        <v>918</v>
      </c>
      <c r="C31" s="9">
        <f>'enrolment vs availed_PY'!G33+'enrolment vs availed_UPY'!G33</f>
        <v>204386</v>
      </c>
      <c r="D31" s="368">
        <v>163059</v>
      </c>
      <c r="E31" s="368">
        <v>5855</v>
      </c>
      <c r="F31" s="368">
        <f t="shared" si="0"/>
        <v>34732</v>
      </c>
      <c r="G31" s="368">
        <v>740</v>
      </c>
    </row>
    <row r="32" spans="1:7" s="170" customFormat="1" ht="15" x14ac:dyDescent="0.25">
      <c r="A32" s="8">
        <v>24</v>
      </c>
      <c r="B32" s="176" t="s">
        <v>919</v>
      </c>
      <c r="C32" s="9">
        <f>'enrolment vs availed_PY'!G34+'enrolment vs availed_UPY'!G34</f>
        <v>226140</v>
      </c>
      <c r="D32" s="368">
        <v>203526</v>
      </c>
      <c r="E32" s="368">
        <v>9045.5999999999985</v>
      </c>
      <c r="F32" s="368">
        <f t="shared" si="0"/>
        <v>13568.400000000001</v>
      </c>
      <c r="G32" s="368">
        <v>0</v>
      </c>
    </row>
    <row r="33" spans="1:13" s="14" customFormat="1" x14ac:dyDescent="0.2">
      <c r="A33" s="798" t="s">
        <v>18</v>
      </c>
      <c r="B33" s="800"/>
      <c r="C33" s="307">
        <f>SUM(C9:C32)</f>
        <v>4180954</v>
      </c>
      <c r="D33" s="369">
        <f>SUM(D9:D32)</f>
        <v>3570397.96</v>
      </c>
      <c r="E33" s="369">
        <f>SUM(E9:E32)</f>
        <v>231143.75</v>
      </c>
      <c r="F33" s="369">
        <f>SUM(F9:F32)</f>
        <v>369303.29000000004</v>
      </c>
      <c r="G33" s="369">
        <f>SUM(G9:G32)</f>
        <v>10109</v>
      </c>
    </row>
    <row r="37" spans="1:13" ht="15" customHeight="1" x14ac:dyDescent="0.2">
      <c r="A37" s="232"/>
      <c r="B37" s="232"/>
      <c r="C37" s="232"/>
      <c r="D37" s="232"/>
      <c r="E37" s="937" t="s">
        <v>12</v>
      </c>
      <c r="F37" s="937"/>
      <c r="G37" s="233"/>
      <c r="H37" s="233"/>
      <c r="I37" s="233"/>
    </row>
    <row r="38" spans="1:13" ht="15" customHeight="1" x14ac:dyDescent="0.2">
      <c r="A38" s="232"/>
      <c r="B38" s="232"/>
      <c r="C38" s="232"/>
      <c r="D38" s="232"/>
      <c r="E38" s="937" t="s">
        <v>13</v>
      </c>
      <c r="F38" s="937"/>
      <c r="G38" s="233"/>
      <c r="H38" s="233"/>
      <c r="I38" s="233"/>
    </row>
    <row r="39" spans="1:13" ht="15" customHeight="1" x14ac:dyDescent="0.2">
      <c r="A39" s="232"/>
      <c r="B39" s="232"/>
      <c r="C39" s="232"/>
      <c r="D39" s="232"/>
      <c r="E39" s="937" t="s">
        <v>87</v>
      </c>
      <c r="F39" s="937"/>
      <c r="G39" s="233"/>
      <c r="H39" s="233"/>
      <c r="I39" s="233"/>
    </row>
    <row r="40" spans="1:13" x14ac:dyDescent="0.2">
      <c r="A40" s="232" t="s">
        <v>11</v>
      </c>
      <c r="C40" s="232"/>
      <c r="D40" s="232"/>
      <c r="E40" s="232"/>
      <c r="F40" s="234" t="s">
        <v>84</v>
      </c>
      <c r="G40" s="235"/>
      <c r="H40" s="232"/>
      <c r="I40" s="232"/>
    </row>
    <row r="41" spans="1:13" x14ac:dyDescent="0.2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</sheetData>
  <protectedRanges>
    <protectedRange sqref="E35" name="Range1"/>
  </protectedRanges>
  <mergeCells count="8">
    <mergeCell ref="E39:F39"/>
    <mergeCell ref="A1:E1"/>
    <mergeCell ref="A2:F2"/>
    <mergeCell ref="A4:F4"/>
    <mergeCell ref="E37:F37"/>
    <mergeCell ref="E38:F38"/>
    <mergeCell ref="F6:G6"/>
    <mergeCell ref="A33:B33"/>
  </mergeCells>
  <printOptions horizontalCentered="1"/>
  <pageMargins left="0.37" right="0.28999999999999998" top="0.23622047244094491" bottom="0" header="0.22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59"/>
  <sheetViews>
    <sheetView topLeftCell="A18" zoomScaleNormal="100" zoomScaleSheetLayoutView="90" workbookViewId="0">
      <selection activeCell="D36" sqref="D36"/>
    </sheetView>
  </sheetViews>
  <sheetFormatPr defaultColWidth="9.140625" defaultRowHeight="12.75" x14ac:dyDescent="0.2"/>
  <cols>
    <col min="1" max="1" width="7.42578125" style="15" customWidth="1"/>
    <col min="2" max="2" width="15.42578125" style="15" bestFit="1" customWidth="1"/>
    <col min="3" max="3" width="11" style="15" customWidth="1"/>
    <col min="4" max="4" width="10" style="15" customWidth="1"/>
    <col min="5" max="5" width="13.140625" style="15" customWidth="1"/>
    <col min="6" max="6" width="15.140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" width="9.140625" style="15"/>
    <col min="17" max="17" width="10" style="15" bestFit="1" customWidth="1"/>
    <col min="18" max="16384" width="9.140625" style="15"/>
  </cols>
  <sheetData>
    <row r="1" spans="1:17" customFormat="1" x14ac:dyDescent="0.2">
      <c r="E1" s="853"/>
      <c r="F1" s="853"/>
      <c r="G1" s="853"/>
      <c r="H1" s="853"/>
      <c r="I1" s="853"/>
      <c r="J1" s="123" t="s">
        <v>62</v>
      </c>
    </row>
    <row r="2" spans="1:17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7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7" customFormat="1" ht="14.25" customHeight="1" x14ac:dyDescent="0.2"/>
    <row r="5" spans="1:17" ht="31.5" customHeight="1" x14ac:dyDescent="0.25">
      <c r="A5" s="931" t="s">
        <v>798</v>
      </c>
      <c r="B5" s="931"/>
      <c r="C5" s="931"/>
      <c r="D5" s="931"/>
      <c r="E5" s="931"/>
      <c r="F5" s="931"/>
      <c r="G5" s="931"/>
      <c r="H5" s="931"/>
      <c r="I5" s="931"/>
      <c r="J5" s="931"/>
    </row>
    <row r="6" spans="1:17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7" ht="0.75" customHeight="1" x14ac:dyDescent="0.2"/>
    <row r="8" spans="1:17" x14ac:dyDescent="0.2">
      <c r="A8" s="820" t="s">
        <v>920</v>
      </c>
      <c r="B8" s="820"/>
      <c r="C8" s="29"/>
      <c r="H8" s="921" t="s">
        <v>830</v>
      </c>
      <c r="I8" s="921"/>
      <c r="J8" s="921"/>
    </row>
    <row r="9" spans="1:17" x14ac:dyDescent="0.2">
      <c r="A9" s="834" t="s">
        <v>2</v>
      </c>
      <c r="B9" s="834" t="s">
        <v>3</v>
      </c>
      <c r="C9" s="802" t="s">
        <v>799</v>
      </c>
      <c r="D9" s="802"/>
      <c r="E9" s="802"/>
      <c r="F9" s="802"/>
      <c r="G9" s="802" t="s">
        <v>105</v>
      </c>
      <c r="H9" s="802"/>
      <c r="I9" s="802"/>
      <c r="J9" s="802"/>
      <c r="N9" s="20"/>
    </row>
    <row r="10" spans="1:17" ht="64.5" customHeight="1" x14ac:dyDescent="0.2">
      <c r="A10" s="834"/>
      <c r="B10" s="834"/>
      <c r="C10" s="5" t="s">
        <v>180</v>
      </c>
      <c r="D10" s="5" t="s">
        <v>16</v>
      </c>
      <c r="E10" s="5" t="s">
        <v>820</v>
      </c>
      <c r="F10" s="5" t="s">
        <v>196</v>
      </c>
      <c r="G10" s="5" t="s">
        <v>180</v>
      </c>
      <c r="H10" s="24" t="s">
        <v>17</v>
      </c>
      <c r="I10" s="24" t="s">
        <v>710</v>
      </c>
      <c r="J10" s="5" t="s">
        <v>711</v>
      </c>
    </row>
    <row r="11" spans="1:1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7" x14ac:dyDescent="0.2">
      <c r="A12" s="17">
        <v>1</v>
      </c>
      <c r="B12" s="176" t="s">
        <v>896</v>
      </c>
      <c r="C12" s="18">
        <f>'AT-3'!C9</f>
        <v>1332</v>
      </c>
      <c r="D12" s="308">
        <v>145867</v>
      </c>
      <c r="E12" s="18">
        <v>254</v>
      </c>
      <c r="F12" s="18">
        <f>D12*E12</f>
        <v>37050218</v>
      </c>
      <c r="G12" s="18">
        <f>'AT3A_cvrg(Insti)_PY'!H12+'AT3A_cvrg(Insti)_PY'!I12+'AT3A_cvrg(Insti)_PY'!K12</f>
        <v>1304</v>
      </c>
      <c r="H12" s="308">
        <f>'enrolment vs availed_PY'!M11+'enrolment vs availed_PY'!N11+'enrolment vs availed_PY'!P11</f>
        <v>18962324</v>
      </c>
      <c r="I12" s="18">
        <v>178</v>
      </c>
      <c r="J12" s="308">
        <f>H12/I12</f>
        <v>106529.91011235955</v>
      </c>
      <c r="N12" s="15">
        <v>18962324</v>
      </c>
      <c r="O12" s="15">
        <v>9431794</v>
      </c>
      <c r="P12" s="15">
        <v>97085</v>
      </c>
      <c r="Q12" s="15">
        <f>N12+O12+P12</f>
        <v>28491203</v>
      </c>
    </row>
    <row r="13" spans="1:17" x14ac:dyDescent="0.2">
      <c r="A13" s="17">
        <v>2</v>
      </c>
      <c r="B13" s="176" t="s">
        <v>897</v>
      </c>
      <c r="C13" s="18">
        <v>549</v>
      </c>
      <c r="D13" s="308">
        <v>49122</v>
      </c>
      <c r="E13" s="18">
        <v>254</v>
      </c>
      <c r="F13" s="18">
        <f t="shared" ref="F13:F35" si="0">D13*E13</f>
        <v>12476988</v>
      </c>
      <c r="G13" s="18">
        <f>'AT3A_cvrg(Insti)_PY'!H13+'AT3A_cvrg(Insti)_PY'!I13+'AT3A_cvrg(Insti)_PY'!K13</f>
        <v>549</v>
      </c>
      <c r="H13" s="308">
        <f>'enrolment vs availed_PY'!M12+'enrolment vs availed_PY'!N12+'enrolment vs availed_PY'!P12</f>
        <v>6910269</v>
      </c>
      <c r="I13" s="18">
        <v>178</v>
      </c>
      <c r="J13" s="308">
        <f t="shared" ref="J13:J24" si="1">H13/I13</f>
        <v>38821.735955056181</v>
      </c>
      <c r="N13" s="15">
        <v>6910269</v>
      </c>
      <c r="O13" s="15">
        <v>2926695</v>
      </c>
      <c r="P13" s="15">
        <v>0</v>
      </c>
      <c r="Q13" s="731">
        <f t="shared" ref="Q13:Q35" si="2">N13+O13+P13</f>
        <v>9836964</v>
      </c>
    </row>
    <row r="14" spans="1:17" x14ac:dyDescent="0.2">
      <c r="A14" s="17">
        <v>3</v>
      </c>
      <c r="B14" s="176" t="s">
        <v>898</v>
      </c>
      <c r="C14" s="18">
        <v>290</v>
      </c>
      <c r="D14" s="308">
        <v>38542</v>
      </c>
      <c r="E14" s="18">
        <v>254</v>
      </c>
      <c r="F14" s="18">
        <f t="shared" si="0"/>
        <v>9789668</v>
      </c>
      <c r="G14" s="18">
        <f>'AT3A_cvrg(Insti)_PY'!H14+'AT3A_cvrg(Insti)_PY'!I14+'AT3A_cvrg(Insti)_PY'!K14</f>
        <v>290</v>
      </c>
      <c r="H14" s="308">
        <f>'enrolment vs availed_PY'!M13+'enrolment vs availed_PY'!N13+'enrolment vs availed_PY'!P13</f>
        <v>5007372</v>
      </c>
      <c r="I14" s="18">
        <v>178</v>
      </c>
      <c r="J14" s="308">
        <f t="shared" si="1"/>
        <v>28131.303370786518</v>
      </c>
      <c r="N14" s="15">
        <v>5007372</v>
      </c>
      <c r="O14" s="15">
        <v>2444412</v>
      </c>
      <c r="P14" s="15">
        <v>0</v>
      </c>
      <c r="Q14" s="731">
        <f t="shared" si="2"/>
        <v>7451784</v>
      </c>
    </row>
    <row r="15" spans="1:17" x14ac:dyDescent="0.2">
      <c r="A15" s="17">
        <v>4</v>
      </c>
      <c r="B15" s="176" t="s">
        <v>899</v>
      </c>
      <c r="C15" s="18">
        <v>919</v>
      </c>
      <c r="D15" s="308">
        <v>113969</v>
      </c>
      <c r="E15" s="18">
        <v>254</v>
      </c>
      <c r="F15" s="18">
        <f t="shared" si="0"/>
        <v>28948126</v>
      </c>
      <c r="G15" s="18">
        <f>'AT3A_cvrg(Insti)_PY'!H15+'AT3A_cvrg(Insti)_PY'!I15+'AT3A_cvrg(Insti)_PY'!K15</f>
        <v>919</v>
      </c>
      <c r="H15" s="308">
        <f>'enrolment vs availed_PY'!M14+'enrolment vs availed_PY'!N14+'enrolment vs availed_PY'!P14</f>
        <v>14914284</v>
      </c>
      <c r="I15" s="18">
        <v>178</v>
      </c>
      <c r="J15" s="308">
        <f t="shared" si="1"/>
        <v>83788.112359550563</v>
      </c>
      <c r="N15" s="15">
        <v>14914284</v>
      </c>
      <c r="O15" s="15">
        <v>6484570</v>
      </c>
      <c r="P15" s="15">
        <v>0</v>
      </c>
      <c r="Q15" s="731">
        <f t="shared" si="2"/>
        <v>21398854</v>
      </c>
    </row>
    <row r="16" spans="1:17" x14ac:dyDescent="0.2">
      <c r="A16" s="17">
        <v>5</v>
      </c>
      <c r="B16" s="176" t="s">
        <v>900</v>
      </c>
      <c r="C16" s="18">
        <v>586</v>
      </c>
      <c r="D16" s="308">
        <v>59209</v>
      </c>
      <c r="E16" s="18">
        <v>254</v>
      </c>
      <c r="F16" s="18">
        <f t="shared" si="0"/>
        <v>15039086</v>
      </c>
      <c r="G16" s="18">
        <f>'AT3A_cvrg(Insti)_PY'!H16+'AT3A_cvrg(Insti)_PY'!I16+'AT3A_cvrg(Insti)_PY'!K16</f>
        <v>586</v>
      </c>
      <c r="H16" s="308">
        <f>'enrolment vs availed_PY'!M15+'enrolment vs availed_PY'!N15+'enrolment vs availed_PY'!P15</f>
        <v>7841988</v>
      </c>
      <c r="I16" s="18">
        <v>178</v>
      </c>
      <c r="J16" s="308">
        <f t="shared" si="1"/>
        <v>44056.112359550563</v>
      </c>
      <c r="N16" s="15">
        <v>7841988</v>
      </c>
      <c r="O16" s="15">
        <v>3559828</v>
      </c>
      <c r="P16" s="15">
        <v>0</v>
      </c>
      <c r="Q16" s="731">
        <f t="shared" si="2"/>
        <v>11401816</v>
      </c>
    </row>
    <row r="17" spans="1:17" x14ac:dyDescent="0.2">
      <c r="A17" s="17">
        <v>6</v>
      </c>
      <c r="B17" s="176" t="s">
        <v>901</v>
      </c>
      <c r="C17" s="18">
        <v>966</v>
      </c>
      <c r="D17" s="308">
        <v>101358</v>
      </c>
      <c r="E17" s="18">
        <v>254</v>
      </c>
      <c r="F17" s="18">
        <f t="shared" si="0"/>
        <v>25744932</v>
      </c>
      <c r="G17" s="18">
        <f>'AT3A_cvrg(Insti)_PY'!H17+'AT3A_cvrg(Insti)_PY'!I17+'AT3A_cvrg(Insti)_PY'!K17</f>
        <v>966</v>
      </c>
      <c r="H17" s="308">
        <f>'enrolment vs availed_PY'!M16+'enrolment vs availed_PY'!N16+'enrolment vs availed_PY'!P16</f>
        <v>13357720</v>
      </c>
      <c r="I17" s="18">
        <v>178</v>
      </c>
      <c r="J17" s="308">
        <f t="shared" si="1"/>
        <v>75043.370786516854</v>
      </c>
      <c r="N17" s="15">
        <v>13357720</v>
      </c>
      <c r="O17" s="15">
        <v>7536702</v>
      </c>
      <c r="P17" s="15">
        <v>0</v>
      </c>
      <c r="Q17" s="731">
        <f t="shared" si="2"/>
        <v>20894422</v>
      </c>
    </row>
    <row r="18" spans="1:17" x14ac:dyDescent="0.2">
      <c r="A18" s="17">
        <v>7</v>
      </c>
      <c r="B18" s="176" t="s">
        <v>902</v>
      </c>
      <c r="C18" s="18">
        <v>821</v>
      </c>
      <c r="D18" s="308">
        <v>66093</v>
      </c>
      <c r="E18" s="18">
        <v>254</v>
      </c>
      <c r="F18" s="18">
        <f t="shared" si="0"/>
        <v>16787622</v>
      </c>
      <c r="G18" s="18">
        <f>'AT3A_cvrg(Insti)_PY'!H18+'AT3A_cvrg(Insti)_PY'!I18+'AT3A_cvrg(Insti)_PY'!K18</f>
        <v>821</v>
      </c>
      <c r="H18" s="308">
        <f>'enrolment vs availed_PY'!M17+'enrolment vs availed_PY'!N17+'enrolment vs availed_PY'!P17</f>
        <v>9013614</v>
      </c>
      <c r="I18" s="18">
        <v>178</v>
      </c>
      <c r="J18" s="308">
        <f t="shared" si="1"/>
        <v>50638.280898876401</v>
      </c>
      <c r="N18" s="15">
        <v>9013614</v>
      </c>
      <c r="O18" s="15">
        <v>4757035</v>
      </c>
      <c r="P18" s="15">
        <v>0</v>
      </c>
      <c r="Q18" s="731">
        <f t="shared" si="2"/>
        <v>13770649</v>
      </c>
    </row>
    <row r="19" spans="1:17" x14ac:dyDescent="0.2">
      <c r="A19" s="17">
        <v>8</v>
      </c>
      <c r="B19" s="176" t="s">
        <v>903</v>
      </c>
      <c r="C19" s="18">
        <v>1353</v>
      </c>
      <c r="D19" s="308">
        <v>143483</v>
      </c>
      <c r="E19" s="18">
        <v>254</v>
      </c>
      <c r="F19" s="18">
        <f t="shared" si="0"/>
        <v>36444682</v>
      </c>
      <c r="G19" s="18">
        <f>'AT3A_cvrg(Insti)_PY'!H19+'AT3A_cvrg(Insti)_PY'!I19+'AT3A_cvrg(Insti)_PY'!K19</f>
        <v>1353</v>
      </c>
      <c r="H19" s="308">
        <f>'enrolment vs availed_PY'!M18+'enrolment vs availed_PY'!N18+'enrolment vs availed_PY'!P18</f>
        <v>21421885</v>
      </c>
      <c r="I19" s="18">
        <v>178</v>
      </c>
      <c r="J19" s="308">
        <f t="shared" si="1"/>
        <v>120347.66853932584</v>
      </c>
      <c r="N19" s="15">
        <v>21421885</v>
      </c>
      <c r="O19" s="15">
        <v>9270065</v>
      </c>
      <c r="P19" s="15">
        <v>27979</v>
      </c>
      <c r="Q19" s="731">
        <f t="shared" si="2"/>
        <v>30719929</v>
      </c>
    </row>
    <row r="20" spans="1:17" x14ac:dyDescent="0.2">
      <c r="A20" s="17">
        <v>9</v>
      </c>
      <c r="B20" s="176" t="s">
        <v>904</v>
      </c>
      <c r="C20" s="18">
        <v>1203</v>
      </c>
      <c r="D20" s="308">
        <v>187166</v>
      </c>
      <c r="E20" s="18">
        <v>254</v>
      </c>
      <c r="F20" s="18">
        <f t="shared" si="0"/>
        <v>47540164</v>
      </c>
      <c r="G20" s="18">
        <f>'AT3A_cvrg(Insti)_PY'!H20+'AT3A_cvrg(Insti)_PY'!I20+'AT3A_cvrg(Insti)_PY'!K20</f>
        <v>1203</v>
      </c>
      <c r="H20" s="308">
        <f>'enrolment vs availed_PY'!M19+'enrolment vs availed_PY'!N19+'enrolment vs availed_PY'!P19</f>
        <v>29021144</v>
      </c>
      <c r="I20" s="18">
        <v>178</v>
      </c>
      <c r="J20" s="308">
        <f t="shared" si="1"/>
        <v>163040.13483146069</v>
      </c>
      <c r="N20" s="15">
        <v>29021144</v>
      </c>
      <c r="O20" s="15">
        <v>14239367</v>
      </c>
      <c r="P20" s="15">
        <v>0</v>
      </c>
      <c r="Q20" s="731">
        <f t="shared" si="2"/>
        <v>43260511</v>
      </c>
    </row>
    <row r="21" spans="1:17" x14ac:dyDescent="0.2">
      <c r="A21" s="17">
        <v>10</v>
      </c>
      <c r="B21" s="176" t="s">
        <v>905</v>
      </c>
      <c r="C21" s="18">
        <v>632</v>
      </c>
      <c r="D21" s="308">
        <v>67441</v>
      </c>
      <c r="E21" s="18">
        <v>254</v>
      </c>
      <c r="F21" s="18">
        <f t="shared" si="0"/>
        <v>17130014</v>
      </c>
      <c r="G21" s="18">
        <f>'AT3A_cvrg(Insti)_PY'!H21+'AT3A_cvrg(Insti)_PY'!I21+'AT3A_cvrg(Insti)_PY'!K21</f>
        <v>632</v>
      </c>
      <c r="H21" s="308">
        <f>'enrolment vs availed_PY'!M20+'enrolment vs availed_PY'!N20+'enrolment vs availed_PY'!P20</f>
        <v>9525742</v>
      </c>
      <c r="I21" s="18">
        <v>178</v>
      </c>
      <c r="J21" s="308">
        <f t="shared" si="1"/>
        <v>53515.404494382019</v>
      </c>
      <c r="N21" s="15">
        <v>9525742</v>
      </c>
      <c r="O21" s="15">
        <v>4028163</v>
      </c>
      <c r="P21" s="15">
        <v>0</v>
      </c>
      <c r="Q21" s="731">
        <f t="shared" si="2"/>
        <v>13553905</v>
      </c>
    </row>
    <row r="22" spans="1:17" x14ac:dyDescent="0.2">
      <c r="A22" s="17">
        <v>11</v>
      </c>
      <c r="B22" s="176" t="s">
        <v>906</v>
      </c>
      <c r="C22" s="18">
        <v>955</v>
      </c>
      <c r="D22" s="308">
        <v>107941</v>
      </c>
      <c r="E22" s="18">
        <v>254</v>
      </c>
      <c r="F22" s="18">
        <f t="shared" si="0"/>
        <v>27417014</v>
      </c>
      <c r="G22" s="18">
        <f>'AT3A_cvrg(Insti)_PY'!H22+'AT3A_cvrg(Insti)_PY'!I22+'AT3A_cvrg(Insti)_PY'!K22</f>
        <v>955</v>
      </c>
      <c r="H22" s="308">
        <f>'enrolment vs availed_PY'!M21+'enrolment vs availed_PY'!N21+'enrolment vs availed_PY'!P21</f>
        <v>15547265</v>
      </c>
      <c r="I22" s="18">
        <v>178</v>
      </c>
      <c r="J22" s="308">
        <f t="shared" si="1"/>
        <v>87344.18539325842</v>
      </c>
      <c r="N22" s="15">
        <v>15547265</v>
      </c>
      <c r="O22" s="15">
        <v>7707204</v>
      </c>
      <c r="P22" s="15">
        <v>147886</v>
      </c>
      <c r="Q22" s="731">
        <f t="shared" si="2"/>
        <v>23402355</v>
      </c>
    </row>
    <row r="23" spans="1:17" x14ac:dyDescent="0.2">
      <c r="A23" s="17">
        <v>12</v>
      </c>
      <c r="B23" s="269" t="s">
        <v>907</v>
      </c>
      <c r="C23" s="18">
        <v>887</v>
      </c>
      <c r="D23" s="308">
        <v>109322</v>
      </c>
      <c r="E23" s="18">
        <v>254</v>
      </c>
      <c r="F23" s="18">
        <f t="shared" si="0"/>
        <v>27767788</v>
      </c>
      <c r="G23" s="18">
        <f>'AT3A_cvrg(Insti)_PY'!H23+'AT3A_cvrg(Insti)_PY'!I23+'AT3A_cvrg(Insti)_PY'!K23</f>
        <v>887</v>
      </c>
      <c r="H23" s="308">
        <f>'enrolment vs availed_PY'!M22+'enrolment vs availed_PY'!N22+'enrolment vs availed_PY'!P22</f>
        <v>14166311</v>
      </c>
      <c r="I23" s="18">
        <v>178</v>
      </c>
      <c r="J23" s="308">
        <f t="shared" si="1"/>
        <v>79586.016853932582</v>
      </c>
      <c r="N23" s="15">
        <v>14166311</v>
      </c>
      <c r="O23" s="15">
        <v>7294497</v>
      </c>
      <c r="P23" s="15">
        <v>78968</v>
      </c>
      <c r="Q23" s="731">
        <f t="shared" si="2"/>
        <v>21539776</v>
      </c>
    </row>
    <row r="24" spans="1:17" x14ac:dyDescent="0.2">
      <c r="A24" s="17">
        <v>13</v>
      </c>
      <c r="B24" s="176" t="s">
        <v>908</v>
      </c>
      <c r="C24" s="18">
        <v>347</v>
      </c>
      <c r="D24" s="308">
        <v>46469</v>
      </c>
      <c r="E24" s="18">
        <v>254</v>
      </c>
      <c r="F24" s="18">
        <f t="shared" si="0"/>
        <v>11803126</v>
      </c>
      <c r="G24" s="18">
        <f>'AT3A_cvrg(Insti)_PY'!H24+'AT3A_cvrg(Insti)_PY'!I24+'AT3A_cvrg(Insti)_PY'!K24</f>
        <v>347</v>
      </c>
      <c r="H24" s="308">
        <f>'enrolment vs availed_PY'!M23+'enrolment vs availed_PY'!N23+'enrolment vs availed_PY'!P23</f>
        <v>5793305</v>
      </c>
      <c r="I24" s="18">
        <v>178</v>
      </c>
      <c r="J24" s="308">
        <f t="shared" si="1"/>
        <v>32546.657303370786</v>
      </c>
      <c r="N24" s="15">
        <v>5793305</v>
      </c>
      <c r="O24" s="15">
        <v>3474005</v>
      </c>
      <c r="P24" s="15">
        <v>0</v>
      </c>
      <c r="Q24" s="731">
        <f t="shared" si="2"/>
        <v>9267310</v>
      </c>
    </row>
    <row r="25" spans="1:17" x14ac:dyDescent="0.2">
      <c r="A25" s="17">
        <v>14</v>
      </c>
      <c r="B25" s="176" t="s">
        <v>909</v>
      </c>
      <c r="C25" s="18">
        <v>363</v>
      </c>
      <c r="D25" s="308">
        <v>50280</v>
      </c>
      <c r="E25" s="18">
        <v>254</v>
      </c>
      <c r="F25" s="18">
        <f t="shared" si="0"/>
        <v>12771120</v>
      </c>
      <c r="G25" s="18">
        <f>'AT3A_cvrg(Insti)_PY'!H25+'AT3A_cvrg(Insti)_PY'!I25+'AT3A_cvrg(Insti)_PY'!K25</f>
        <v>363</v>
      </c>
      <c r="H25" s="308">
        <f>'enrolment vs availed_PY'!M24+'enrolment vs availed_PY'!N24+'enrolment vs availed_PY'!P24</f>
        <v>6755544</v>
      </c>
      <c r="I25" s="18">
        <v>178</v>
      </c>
      <c r="J25" s="308">
        <f t="shared" ref="J25:J35" si="3">H25/I25</f>
        <v>37952.494382022473</v>
      </c>
      <c r="N25" s="15">
        <v>6755544</v>
      </c>
      <c r="O25" s="15">
        <v>3601955</v>
      </c>
      <c r="P25" s="15">
        <v>0</v>
      </c>
      <c r="Q25" s="731">
        <f t="shared" si="2"/>
        <v>10357499</v>
      </c>
    </row>
    <row r="26" spans="1:17" x14ac:dyDescent="0.2">
      <c r="A26" s="17">
        <v>15</v>
      </c>
      <c r="B26" s="176" t="s">
        <v>910</v>
      </c>
      <c r="C26" s="18">
        <v>895</v>
      </c>
      <c r="D26" s="308">
        <v>108268</v>
      </c>
      <c r="E26" s="18">
        <v>254</v>
      </c>
      <c r="F26" s="18">
        <f t="shared" si="0"/>
        <v>27500072</v>
      </c>
      <c r="G26" s="18">
        <f>'AT3A_cvrg(Insti)_PY'!H26+'AT3A_cvrg(Insti)_PY'!I26+'AT3A_cvrg(Insti)_PY'!K26</f>
        <v>895</v>
      </c>
      <c r="H26" s="308">
        <f>'enrolment vs availed_PY'!M25+'enrolment vs availed_PY'!N25+'enrolment vs availed_PY'!P25</f>
        <v>15122930</v>
      </c>
      <c r="I26" s="18">
        <v>178</v>
      </c>
      <c r="J26" s="308">
        <f t="shared" si="3"/>
        <v>84960.280898876401</v>
      </c>
      <c r="N26" s="15">
        <v>15122930</v>
      </c>
      <c r="O26" s="15">
        <v>7946429</v>
      </c>
      <c r="P26" s="15">
        <v>0</v>
      </c>
      <c r="Q26" s="731">
        <f t="shared" si="2"/>
        <v>23069359</v>
      </c>
    </row>
    <row r="27" spans="1:17" x14ac:dyDescent="0.2">
      <c r="A27" s="17">
        <v>16</v>
      </c>
      <c r="B27" s="176" t="s">
        <v>911</v>
      </c>
      <c r="C27" s="18">
        <v>1888</v>
      </c>
      <c r="D27" s="308">
        <v>165359</v>
      </c>
      <c r="E27" s="18">
        <v>254</v>
      </c>
      <c r="F27" s="18">
        <f t="shared" si="0"/>
        <v>42001186</v>
      </c>
      <c r="G27" s="18">
        <f>'AT3A_cvrg(Insti)_PY'!H27+'AT3A_cvrg(Insti)_PY'!I27+'AT3A_cvrg(Insti)_PY'!K27</f>
        <v>1888</v>
      </c>
      <c r="H27" s="308">
        <f>'enrolment vs availed_PY'!M26+'enrolment vs availed_PY'!N26+'enrolment vs availed_PY'!P26</f>
        <v>26020423</v>
      </c>
      <c r="I27" s="18">
        <v>178</v>
      </c>
      <c r="J27" s="308">
        <f t="shared" si="3"/>
        <v>146182.15168539327</v>
      </c>
      <c r="N27" s="15">
        <v>26020423</v>
      </c>
      <c r="O27" s="15">
        <v>10683381</v>
      </c>
      <c r="P27" s="15">
        <v>0</v>
      </c>
      <c r="Q27" s="731">
        <f t="shared" si="2"/>
        <v>36703804</v>
      </c>
    </row>
    <row r="28" spans="1:17" x14ac:dyDescent="0.2">
      <c r="A28" s="17">
        <v>17</v>
      </c>
      <c r="B28" s="176" t="s">
        <v>912</v>
      </c>
      <c r="C28" s="18">
        <v>1091</v>
      </c>
      <c r="D28" s="308">
        <v>108106</v>
      </c>
      <c r="E28" s="18">
        <v>254</v>
      </c>
      <c r="F28" s="18">
        <f t="shared" si="0"/>
        <v>27458924</v>
      </c>
      <c r="G28" s="18">
        <f>'AT3A_cvrg(Insti)_PY'!H28+'AT3A_cvrg(Insti)_PY'!I28+'AT3A_cvrg(Insti)_PY'!K28</f>
        <v>1091</v>
      </c>
      <c r="H28" s="308">
        <f>'enrolment vs availed_PY'!M27+'enrolment vs availed_PY'!N27+'enrolment vs availed_PY'!P27</f>
        <v>14356671</v>
      </c>
      <c r="I28" s="18">
        <v>178</v>
      </c>
      <c r="J28" s="308">
        <f t="shared" si="3"/>
        <v>80655.455056179781</v>
      </c>
      <c r="N28" s="15">
        <v>14356671</v>
      </c>
      <c r="O28" s="15">
        <v>8819092</v>
      </c>
      <c r="P28" s="15">
        <v>0</v>
      </c>
      <c r="Q28" s="731">
        <f t="shared" si="2"/>
        <v>23175763</v>
      </c>
    </row>
    <row r="29" spans="1:17" x14ac:dyDescent="0.2">
      <c r="A29" s="17">
        <v>18</v>
      </c>
      <c r="B29" s="176" t="s">
        <v>913</v>
      </c>
      <c r="C29" s="18">
        <v>990</v>
      </c>
      <c r="D29" s="308">
        <v>93835</v>
      </c>
      <c r="E29" s="18">
        <v>254</v>
      </c>
      <c r="F29" s="18">
        <f t="shared" si="0"/>
        <v>23834090</v>
      </c>
      <c r="G29" s="18">
        <f>'AT3A_cvrg(Insti)_PY'!H29+'AT3A_cvrg(Insti)_PY'!I29+'AT3A_cvrg(Insti)_PY'!K29</f>
        <v>990</v>
      </c>
      <c r="H29" s="308">
        <f>'enrolment vs availed_PY'!M28+'enrolment vs availed_PY'!N28+'enrolment vs availed_PY'!P28</f>
        <v>12588674</v>
      </c>
      <c r="I29" s="18">
        <v>178</v>
      </c>
      <c r="J29" s="308">
        <f t="shared" si="3"/>
        <v>70722.887640449437</v>
      </c>
      <c r="N29" s="15">
        <v>12588674</v>
      </c>
      <c r="O29" s="15">
        <v>7055667</v>
      </c>
      <c r="P29" s="15">
        <v>0</v>
      </c>
      <c r="Q29" s="731">
        <f t="shared" si="2"/>
        <v>19644341</v>
      </c>
    </row>
    <row r="30" spans="1:17" x14ac:dyDescent="0.2">
      <c r="A30" s="17">
        <v>19</v>
      </c>
      <c r="B30" s="176" t="s">
        <v>914</v>
      </c>
      <c r="C30" s="18">
        <v>1478</v>
      </c>
      <c r="D30" s="308">
        <v>86631</v>
      </c>
      <c r="E30" s="18">
        <v>254</v>
      </c>
      <c r="F30" s="18">
        <f t="shared" si="0"/>
        <v>22004274</v>
      </c>
      <c r="G30" s="18">
        <f>'AT3A_cvrg(Insti)_PY'!H30+'AT3A_cvrg(Insti)_PY'!I30+'AT3A_cvrg(Insti)_PY'!K30</f>
        <v>1478</v>
      </c>
      <c r="H30" s="308">
        <f>'enrolment vs availed_PY'!M29+'enrolment vs availed_PY'!N29+'enrolment vs availed_PY'!P29</f>
        <v>14571148</v>
      </c>
      <c r="I30" s="18">
        <v>178</v>
      </c>
      <c r="J30" s="308">
        <f t="shared" si="3"/>
        <v>81860.382022471909</v>
      </c>
      <c r="N30" s="15">
        <v>14571148</v>
      </c>
      <c r="O30" s="15">
        <v>6733318</v>
      </c>
      <c r="P30" s="15">
        <v>161857</v>
      </c>
      <c r="Q30" s="731">
        <f t="shared" si="2"/>
        <v>21466323</v>
      </c>
    </row>
    <row r="31" spans="1:17" x14ac:dyDescent="0.2">
      <c r="A31" s="17">
        <v>20</v>
      </c>
      <c r="B31" s="176" t="s">
        <v>915</v>
      </c>
      <c r="C31" s="18">
        <v>600</v>
      </c>
      <c r="D31" s="308">
        <v>62264</v>
      </c>
      <c r="E31" s="18">
        <v>254</v>
      </c>
      <c r="F31" s="18">
        <f t="shared" si="0"/>
        <v>15815056</v>
      </c>
      <c r="G31" s="18">
        <f>'AT3A_cvrg(Insti)_PY'!H31+'AT3A_cvrg(Insti)_PY'!I31+'AT3A_cvrg(Insti)_PY'!K31</f>
        <v>600</v>
      </c>
      <c r="H31" s="308">
        <f>'enrolment vs availed_PY'!M30+'enrolment vs availed_PY'!N30+'enrolment vs availed_PY'!P30</f>
        <v>8219642</v>
      </c>
      <c r="I31" s="18">
        <v>178</v>
      </c>
      <c r="J31" s="308">
        <f t="shared" si="3"/>
        <v>46177.764044943819</v>
      </c>
      <c r="N31" s="15">
        <v>8219642</v>
      </c>
      <c r="O31" s="15">
        <v>3534992</v>
      </c>
      <c r="P31" s="15">
        <v>0</v>
      </c>
      <c r="Q31" s="731">
        <f t="shared" si="2"/>
        <v>11754634</v>
      </c>
    </row>
    <row r="32" spans="1:17" x14ac:dyDescent="0.2">
      <c r="A32" s="17">
        <v>21</v>
      </c>
      <c r="B32" s="176" t="s">
        <v>916</v>
      </c>
      <c r="C32" s="18">
        <v>758</v>
      </c>
      <c r="D32" s="308">
        <v>85470</v>
      </c>
      <c r="E32" s="18">
        <v>254</v>
      </c>
      <c r="F32" s="18">
        <f t="shared" si="0"/>
        <v>21709380</v>
      </c>
      <c r="G32" s="18">
        <f>'AT3A_cvrg(Insti)_PY'!H32+'AT3A_cvrg(Insti)_PY'!I32+'AT3A_cvrg(Insti)_PY'!K32</f>
        <v>758</v>
      </c>
      <c r="H32" s="308">
        <f>'enrolment vs availed_PY'!M31+'enrolment vs availed_PY'!N31+'enrolment vs availed_PY'!P31</f>
        <v>15027118</v>
      </c>
      <c r="I32" s="18">
        <v>178</v>
      </c>
      <c r="J32" s="308">
        <f t="shared" si="3"/>
        <v>84422.011235955055</v>
      </c>
      <c r="N32" s="15">
        <v>15027118</v>
      </c>
      <c r="O32" s="15">
        <v>5634556</v>
      </c>
      <c r="P32" s="15">
        <v>0</v>
      </c>
      <c r="Q32" s="731">
        <f t="shared" si="2"/>
        <v>20661674</v>
      </c>
    </row>
    <row r="33" spans="1:17" x14ac:dyDescent="0.2">
      <c r="A33" s="17">
        <v>22</v>
      </c>
      <c r="B33" s="176" t="s">
        <v>917</v>
      </c>
      <c r="C33" s="18">
        <v>609</v>
      </c>
      <c r="D33" s="308">
        <v>64609</v>
      </c>
      <c r="E33" s="18">
        <v>254</v>
      </c>
      <c r="F33" s="18">
        <f t="shared" si="0"/>
        <v>16410686</v>
      </c>
      <c r="G33" s="18">
        <f>'AT3A_cvrg(Insti)_PY'!H33+'AT3A_cvrg(Insti)_PY'!I33+'AT3A_cvrg(Insti)_PY'!K33</f>
        <v>609</v>
      </c>
      <c r="H33" s="308">
        <f>'enrolment vs availed_PY'!M32+'enrolment vs availed_PY'!N32+'enrolment vs availed_PY'!P32</f>
        <v>9863540</v>
      </c>
      <c r="I33" s="18">
        <v>178</v>
      </c>
      <c r="J33" s="308">
        <f t="shared" si="3"/>
        <v>55413.146067415728</v>
      </c>
      <c r="N33" s="15">
        <v>9863540</v>
      </c>
      <c r="O33" s="15">
        <v>3084204</v>
      </c>
      <c r="P33" s="15">
        <v>496</v>
      </c>
      <c r="Q33" s="731">
        <f t="shared" si="2"/>
        <v>12948240</v>
      </c>
    </row>
    <row r="34" spans="1:17" x14ac:dyDescent="0.2">
      <c r="A34" s="17">
        <v>23</v>
      </c>
      <c r="B34" s="176" t="s">
        <v>918</v>
      </c>
      <c r="C34" s="18">
        <v>922</v>
      </c>
      <c r="D34" s="308">
        <v>109390</v>
      </c>
      <c r="E34" s="18">
        <v>254</v>
      </c>
      <c r="F34" s="18">
        <f t="shared" si="0"/>
        <v>27785060</v>
      </c>
      <c r="G34" s="18">
        <f>'AT3A_cvrg(Insti)_PY'!H34+'AT3A_cvrg(Insti)_PY'!I34+'AT3A_cvrg(Insti)_PY'!K34</f>
        <v>922</v>
      </c>
      <c r="H34" s="308">
        <f>'enrolment vs availed_PY'!M33+'enrolment vs availed_PY'!N33+'enrolment vs availed_PY'!P33</f>
        <v>16733025</v>
      </c>
      <c r="I34" s="18">
        <v>178</v>
      </c>
      <c r="J34" s="308">
        <f t="shared" si="3"/>
        <v>94005.758426966291</v>
      </c>
      <c r="N34" s="15">
        <v>16733025</v>
      </c>
      <c r="O34" s="15">
        <v>6387844</v>
      </c>
      <c r="P34" s="15">
        <v>0</v>
      </c>
      <c r="Q34" s="731">
        <f t="shared" si="2"/>
        <v>23120869</v>
      </c>
    </row>
    <row r="35" spans="1:17" x14ac:dyDescent="0.2">
      <c r="A35" s="17">
        <v>24</v>
      </c>
      <c r="B35" s="176" t="s">
        <v>919</v>
      </c>
      <c r="C35" s="18">
        <v>1296</v>
      </c>
      <c r="D35" s="308">
        <v>124588</v>
      </c>
      <c r="E35" s="18">
        <v>254</v>
      </c>
      <c r="F35" s="18">
        <f t="shared" si="0"/>
        <v>31645352</v>
      </c>
      <c r="G35" s="18">
        <f>'AT3A_cvrg(Insti)_PY'!H35+'AT3A_cvrg(Insti)_PY'!I35+'AT3A_cvrg(Insti)_PY'!K35</f>
        <v>1296</v>
      </c>
      <c r="H35" s="308">
        <f>'enrolment vs availed_PY'!M34+'enrolment vs availed_PY'!N34+'enrolment vs availed_PY'!P34</f>
        <v>16682780</v>
      </c>
      <c r="I35" s="18">
        <v>178</v>
      </c>
      <c r="J35" s="308">
        <f t="shared" si="3"/>
        <v>93723.483146067418</v>
      </c>
      <c r="N35" s="15">
        <v>16682780</v>
      </c>
      <c r="O35" s="15">
        <v>8733457</v>
      </c>
      <c r="P35" s="15">
        <v>0</v>
      </c>
      <c r="Q35" s="731">
        <f t="shared" si="2"/>
        <v>25416237</v>
      </c>
    </row>
    <row r="36" spans="1:17" s="14" customFormat="1" x14ac:dyDescent="0.2">
      <c r="A36" s="802" t="s">
        <v>18</v>
      </c>
      <c r="B36" s="802"/>
      <c r="C36" s="27">
        <f>SUM(C12:C35)</f>
        <v>21730</v>
      </c>
      <c r="D36" s="310">
        <f>SUM(D12:D35)</f>
        <v>2294782</v>
      </c>
      <c r="E36" s="27"/>
      <c r="F36" s="27">
        <f>SUM(F12:F35)</f>
        <v>582874628</v>
      </c>
      <c r="G36" s="27">
        <f>SUM(G12:G35)</f>
        <v>21702</v>
      </c>
      <c r="H36" s="27">
        <f>SUM(H12:H35)</f>
        <v>327424718</v>
      </c>
      <c r="I36" s="27"/>
      <c r="J36" s="310">
        <f>SUM(J12:J35)</f>
        <v>1839464.7078651683</v>
      </c>
      <c r="L36" s="328"/>
      <c r="Q36" s="14">
        <f>SUM(Q12:Q35)</f>
        <v>483308221</v>
      </c>
    </row>
    <row r="37" spans="1:17" x14ac:dyDescent="0.2">
      <c r="A37" s="938" t="s">
        <v>712</v>
      </c>
      <c r="B37" s="938"/>
      <c r="C37" s="938"/>
      <c r="D37" s="938"/>
      <c r="E37" s="938"/>
      <c r="F37" s="938"/>
      <c r="G37" s="938"/>
      <c r="H37" s="938"/>
      <c r="I37" s="20"/>
      <c r="J37" s="782">
        <f>'T5B_PLAN_vs_PRFM  (2)'!J36</f>
        <v>2197.7393162393164</v>
      </c>
      <c r="Q37" s="14"/>
    </row>
    <row r="38" spans="1:17" x14ac:dyDescent="0.2">
      <c r="A38" s="11"/>
      <c r="B38" s="28"/>
      <c r="C38" s="28"/>
      <c r="D38" s="782">
        <f>D36+3400</f>
        <v>2298182</v>
      </c>
      <c r="E38" s="20"/>
      <c r="F38" s="387">
        <f>'T5A_PLAN_vs_PRFM '!F36</f>
        <v>253250192</v>
      </c>
      <c r="G38" s="20"/>
      <c r="H38" s="20">
        <f>'T5A_PLAN_vs_PRFM '!H36</f>
        <v>155369232</v>
      </c>
      <c r="I38" s="20"/>
      <c r="J38" s="782">
        <f>J36+J37</f>
        <v>1841662.4471814076</v>
      </c>
      <c r="Q38" s="14"/>
    </row>
    <row r="39" spans="1:17" ht="15.75" customHeight="1" x14ac:dyDescent="0.2">
      <c r="A39" s="14" t="s">
        <v>11</v>
      </c>
      <c r="B39" s="14"/>
      <c r="C39" s="14"/>
      <c r="D39" s="14"/>
      <c r="E39" s="14"/>
      <c r="F39" s="20">
        <f>'T5B_PLAN_vs_PRFM  (2)'!F36</f>
        <v>1060800</v>
      </c>
      <c r="G39" s="14"/>
      <c r="H39" s="15">
        <f>'T5B_PLAN_vs_PRFM  (2)'!H36</f>
        <v>514271</v>
      </c>
      <c r="I39" s="821" t="s">
        <v>12</v>
      </c>
      <c r="J39" s="821"/>
      <c r="Q39" s="14"/>
    </row>
    <row r="40" spans="1:17" s="731" customFormat="1" ht="15.75" customHeight="1" x14ac:dyDescent="0.2">
      <c r="A40" s="14"/>
      <c r="B40" s="14"/>
      <c r="C40" s="14"/>
      <c r="D40" s="14"/>
      <c r="E40" s="14"/>
      <c r="F40" s="782">
        <f>F36+F38+F39</f>
        <v>837185620</v>
      </c>
      <c r="G40" s="14"/>
      <c r="H40" s="782">
        <f>H36+H38+H39</f>
        <v>483308221</v>
      </c>
      <c r="I40" s="783">
        <f>H40/F40</f>
        <v>0.57730114977369063</v>
      </c>
      <c r="J40" s="729"/>
      <c r="Q40" s="14"/>
    </row>
    <row r="41" spans="1:17" ht="12.75" customHeight="1" x14ac:dyDescent="0.2">
      <c r="A41" s="803" t="s">
        <v>13</v>
      </c>
      <c r="B41" s="803"/>
      <c r="C41" s="803"/>
      <c r="D41" s="803"/>
      <c r="E41" s="803"/>
      <c r="F41" s="803"/>
      <c r="G41" s="803"/>
      <c r="H41" s="803"/>
      <c r="I41" s="803"/>
      <c r="J41" s="803"/>
      <c r="Q41" s="14"/>
    </row>
    <row r="42" spans="1:17" ht="12.75" customHeight="1" x14ac:dyDescent="0.2">
      <c r="A42" s="803" t="s">
        <v>19</v>
      </c>
      <c r="B42" s="803"/>
      <c r="C42" s="803"/>
      <c r="D42" s="803"/>
      <c r="E42" s="803"/>
      <c r="F42" s="803"/>
      <c r="G42" s="803"/>
      <c r="H42" s="803"/>
      <c r="I42" s="803"/>
      <c r="J42" s="803"/>
      <c r="Q42" s="14"/>
    </row>
    <row r="43" spans="1:17" x14ac:dyDescent="0.2">
      <c r="A43" s="14"/>
      <c r="B43" s="14"/>
      <c r="C43" s="14"/>
      <c r="E43" s="14"/>
      <c r="H43" s="820" t="s">
        <v>84</v>
      </c>
      <c r="I43" s="820"/>
      <c r="J43" s="820"/>
      <c r="Q43" s="14"/>
    </row>
    <row r="44" spans="1:17" x14ac:dyDescent="0.2">
      <c r="Q44" s="14"/>
    </row>
    <row r="45" spans="1:17" x14ac:dyDescent="0.2">
      <c r="Q45" s="14"/>
    </row>
    <row r="46" spans="1:17" x14ac:dyDescent="0.2">
      <c r="Q46" s="14"/>
    </row>
    <row r="47" spans="1:17" x14ac:dyDescent="0.2">
      <c r="A47" s="939"/>
      <c r="B47" s="939"/>
      <c r="C47" s="939"/>
      <c r="D47" s="939"/>
      <c r="E47" s="939"/>
      <c r="F47" s="939"/>
      <c r="G47" s="939"/>
      <c r="H47" s="939"/>
      <c r="I47" s="939"/>
      <c r="J47" s="939"/>
      <c r="Q47" s="14"/>
    </row>
    <row r="48" spans="1:17" x14ac:dyDescent="0.2">
      <c r="Q48" s="14"/>
    </row>
    <row r="49" spans="1:17" x14ac:dyDescent="0.2">
      <c r="A49" s="939"/>
      <c r="B49" s="939"/>
      <c r="C49" s="939"/>
      <c r="D49" s="939"/>
      <c r="E49" s="939"/>
      <c r="F49" s="939"/>
      <c r="G49" s="939"/>
      <c r="H49" s="939"/>
      <c r="I49" s="939"/>
      <c r="J49" s="939"/>
      <c r="Q49" s="14"/>
    </row>
    <row r="50" spans="1:17" x14ac:dyDescent="0.2">
      <c r="Q50" s="14"/>
    </row>
    <row r="51" spans="1:17" x14ac:dyDescent="0.2">
      <c r="Q51" s="14"/>
    </row>
    <row r="52" spans="1:17" x14ac:dyDescent="0.2">
      <c r="Q52" s="14"/>
    </row>
    <row r="53" spans="1:17" x14ac:dyDescent="0.2">
      <c r="Q53" s="14"/>
    </row>
    <row r="54" spans="1:17" x14ac:dyDescent="0.2">
      <c r="Q54" s="14"/>
    </row>
    <row r="55" spans="1:17" x14ac:dyDescent="0.2">
      <c r="Q55" s="14"/>
    </row>
    <row r="56" spans="1:17" x14ac:dyDescent="0.2">
      <c r="Q56" s="14"/>
    </row>
    <row r="57" spans="1:17" x14ac:dyDescent="0.2">
      <c r="Q57" s="14"/>
    </row>
    <row r="58" spans="1:17" x14ac:dyDescent="0.2">
      <c r="Q58" s="14"/>
    </row>
    <row r="59" spans="1:17" x14ac:dyDescent="0.2">
      <c r="Q59" s="14"/>
    </row>
  </sheetData>
  <mergeCells count="18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  <mergeCell ref="A36:B36"/>
    <mergeCell ref="A37:H37"/>
    <mergeCell ref="I39:J39"/>
    <mergeCell ref="H43:J43"/>
    <mergeCell ref="A49:J49"/>
    <mergeCell ref="A47:J47"/>
    <mergeCell ref="A41:J41"/>
    <mergeCell ref="A42:J42"/>
  </mergeCells>
  <phoneticPr fontId="0" type="noConversion"/>
  <printOptions horizontalCentered="1"/>
  <pageMargins left="0.47" right="0.23" top="0.23622047244094491" bottom="0" header="0.31496062992125984" footer="0.16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8"/>
  <sheetViews>
    <sheetView topLeftCell="A13" zoomScaleNormal="100" zoomScaleSheetLayoutView="90" workbookViewId="0">
      <selection activeCell="D36" sqref="D36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53"/>
      <c r="F1" s="853"/>
      <c r="G1" s="853"/>
      <c r="H1" s="853"/>
      <c r="I1" s="853"/>
      <c r="J1" s="123" t="s">
        <v>357</v>
      </c>
    </row>
    <row r="2" spans="1:16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6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6" customFormat="1" ht="14.25" customHeight="1" x14ac:dyDescent="0.2"/>
    <row r="5" spans="1:16" ht="15.75" x14ac:dyDescent="0.25">
      <c r="A5" s="931" t="s">
        <v>800</v>
      </c>
      <c r="B5" s="931"/>
      <c r="C5" s="931"/>
      <c r="D5" s="931"/>
      <c r="E5" s="931"/>
      <c r="F5" s="931"/>
      <c r="G5" s="931"/>
      <c r="H5" s="931"/>
      <c r="I5" s="931"/>
      <c r="J5" s="93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6" x14ac:dyDescent="0.2">
      <c r="A8" s="820" t="s">
        <v>158</v>
      </c>
      <c r="B8" s="820"/>
      <c r="C8" s="29"/>
      <c r="H8" s="921" t="s">
        <v>830</v>
      </c>
      <c r="I8" s="921"/>
      <c r="J8" s="921"/>
    </row>
    <row r="9" spans="1:16" x14ac:dyDescent="0.2">
      <c r="A9" s="834" t="s">
        <v>2</v>
      </c>
      <c r="B9" s="834" t="s">
        <v>3</v>
      </c>
      <c r="C9" s="802" t="s">
        <v>799</v>
      </c>
      <c r="D9" s="802"/>
      <c r="E9" s="802"/>
      <c r="F9" s="802"/>
      <c r="G9" s="802" t="s">
        <v>105</v>
      </c>
      <c r="H9" s="802"/>
      <c r="I9" s="802"/>
      <c r="J9" s="802"/>
      <c r="O9" s="18"/>
      <c r="P9" s="20"/>
    </row>
    <row r="10" spans="1:16" ht="63.75" x14ac:dyDescent="0.2">
      <c r="A10" s="834"/>
      <c r="B10" s="834"/>
      <c r="C10" s="5" t="s">
        <v>180</v>
      </c>
      <c r="D10" s="5" t="s">
        <v>16</v>
      </c>
      <c r="E10" s="36" t="s">
        <v>820</v>
      </c>
      <c r="F10" s="5" t="s">
        <v>196</v>
      </c>
      <c r="G10" s="5" t="s">
        <v>180</v>
      </c>
      <c r="H10" s="24" t="s">
        <v>17</v>
      </c>
      <c r="I10" s="24" t="s">
        <v>710</v>
      </c>
      <c r="J10" s="5" t="s">
        <v>711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6" x14ac:dyDescent="0.2">
      <c r="A12" s="17">
        <v>1</v>
      </c>
      <c r="B12" s="176" t="s">
        <v>896</v>
      </c>
      <c r="C12" s="18">
        <v>845</v>
      </c>
      <c r="D12" s="308">
        <v>63080</v>
      </c>
      <c r="E12" s="18">
        <v>254</v>
      </c>
      <c r="F12" s="18">
        <f>D12*E12</f>
        <v>16022320</v>
      </c>
      <c r="G12" s="18">
        <f>'AT3B_cvrg(Insti)_UPY '!L11+'AT3C_cvrg(Insti)_UPY '!L11</f>
        <v>845</v>
      </c>
      <c r="H12" s="308">
        <f>'enrolment vs availed_UPY'!M11+'enrolment vs availed_UPY'!N11+'enrolment vs availed_UPY'!P11</f>
        <v>9431794</v>
      </c>
      <c r="I12" s="18">
        <v>178</v>
      </c>
      <c r="J12" s="308">
        <f>H12/I12</f>
        <v>52987.606741573036</v>
      </c>
    </row>
    <row r="13" spans="1:16" x14ac:dyDescent="0.2">
      <c r="A13" s="17">
        <v>2</v>
      </c>
      <c r="B13" s="176" t="s">
        <v>897</v>
      </c>
      <c r="C13" s="18">
        <v>319</v>
      </c>
      <c r="D13" s="308">
        <v>17555</v>
      </c>
      <c r="E13" s="18">
        <v>254</v>
      </c>
      <c r="F13" s="18">
        <f t="shared" ref="F13:F35" si="0">D13*E13</f>
        <v>4458970</v>
      </c>
      <c r="G13" s="18">
        <f>'AT3B_cvrg(Insti)_UPY '!L12+'AT3C_cvrg(Insti)_UPY '!L12</f>
        <v>319</v>
      </c>
      <c r="H13" s="308">
        <f>'enrolment vs availed_UPY'!M12+'enrolment vs availed_UPY'!N12+'enrolment vs availed_UPY'!P12</f>
        <v>2926695</v>
      </c>
      <c r="I13" s="18">
        <v>178</v>
      </c>
      <c r="J13" s="308">
        <f t="shared" ref="J13:J35" si="1">H13/I13</f>
        <v>16442.106741573032</v>
      </c>
    </row>
    <row r="14" spans="1:16" x14ac:dyDescent="0.2">
      <c r="A14" s="17">
        <v>3</v>
      </c>
      <c r="B14" s="176" t="s">
        <v>898</v>
      </c>
      <c r="C14" s="18">
        <v>201</v>
      </c>
      <c r="D14" s="308">
        <v>16093</v>
      </c>
      <c r="E14" s="18">
        <v>254</v>
      </c>
      <c r="F14" s="18">
        <f t="shared" si="0"/>
        <v>4087622</v>
      </c>
      <c r="G14" s="18">
        <f>'AT3B_cvrg(Insti)_UPY '!L13+'AT3C_cvrg(Insti)_UPY '!L13</f>
        <v>201</v>
      </c>
      <c r="H14" s="308">
        <f>'enrolment vs availed_UPY'!M13+'enrolment vs availed_UPY'!N13+'enrolment vs availed_UPY'!P13</f>
        <v>2444412</v>
      </c>
      <c r="I14" s="18">
        <v>178</v>
      </c>
      <c r="J14" s="308">
        <f t="shared" si="1"/>
        <v>13732.651685393259</v>
      </c>
    </row>
    <row r="15" spans="1:16" x14ac:dyDescent="0.2">
      <c r="A15" s="17">
        <v>4</v>
      </c>
      <c r="B15" s="176" t="s">
        <v>899</v>
      </c>
      <c r="C15" s="18">
        <v>600</v>
      </c>
      <c r="D15" s="308">
        <v>41238</v>
      </c>
      <c r="E15" s="18">
        <v>254</v>
      </c>
      <c r="F15" s="18">
        <f t="shared" si="0"/>
        <v>10474452</v>
      </c>
      <c r="G15" s="18">
        <f>'AT3B_cvrg(Insti)_UPY '!L14+'AT3C_cvrg(Insti)_UPY '!L14</f>
        <v>600</v>
      </c>
      <c r="H15" s="308">
        <f>'enrolment vs availed_UPY'!M14+'enrolment vs availed_UPY'!N14+'enrolment vs availed_UPY'!P14</f>
        <v>6484570</v>
      </c>
      <c r="I15" s="18">
        <v>178</v>
      </c>
      <c r="J15" s="308">
        <f t="shared" si="1"/>
        <v>36430.168539325845</v>
      </c>
    </row>
    <row r="16" spans="1:16" x14ac:dyDescent="0.2">
      <c r="A16" s="17">
        <v>5</v>
      </c>
      <c r="B16" s="176" t="s">
        <v>900</v>
      </c>
      <c r="C16" s="18">
        <v>382</v>
      </c>
      <c r="D16" s="308">
        <v>23168</v>
      </c>
      <c r="E16" s="18">
        <v>254</v>
      </c>
      <c r="F16" s="18">
        <f t="shared" si="0"/>
        <v>5884672</v>
      </c>
      <c r="G16" s="18">
        <f>'AT3B_cvrg(Insti)_UPY '!L15+'AT3C_cvrg(Insti)_UPY '!L15</f>
        <v>382</v>
      </c>
      <c r="H16" s="308">
        <f>'enrolment vs availed_UPY'!M15+'enrolment vs availed_UPY'!N15+'enrolment vs availed_UPY'!P15</f>
        <v>3559828</v>
      </c>
      <c r="I16" s="18">
        <v>178</v>
      </c>
      <c r="J16" s="308">
        <f t="shared" si="1"/>
        <v>19999.033707865168</v>
      </c>
    </row>
    <row r="17" spans="1:10" x14ac:dyDescent="0.2">
      <c r="A17" s="17">
        <v>6</v>
      </c>
      <c r="B17" s="176" t="s">
        <v>901</v>
      </c>
      <c r="C17" s="18">
        <v>654</v>
      </c>
      <c r="D17" s="308">
        <v>50246</v>
      </c>
      <c r="E17" s="18">
        <v>254</v>
      </c>
      <c r="F17" s="18">
        <f t="shared" si="0"/>
        <v>12762484</v>
      </c>
      <c r="G17" s="18">
        <f>'AT3B_cvrg(Insti)_UPY '!L16+'AT3C_cvrg(Insti)_UPY '!L16</f>
        <v>654</v>
      </c>
      <c r="H17" s="308">
        <f>'enrolment vs availed_UPY'!M16+'enrolment vs availed_UPY'!N16+'enrolment vs availed_UPY'!P16</f>
        <v>7536702</v>
      </c>
      <c r="I17" s="18">
        <v>178</v>
      </c>
      <c r="J17" s="308">
        <f t="shared" si="1"/>
        <v>42341.02247191011</v>
      </c>
    </row>
    <row r="18" spans="1:10" x14ac:dyDescent="0.2">
      <c r="A18" s="17">
        <v>7</v>
      </c>
      <c r="B18" s="176" t="s">
        <v>902</v>
      </c>
      <c r="C18" s="18">
        <v>560</v>
      </c>
      <c r="D18" s="308">
        <v>32016</v>
      </c>
      <c r="E18" s="18">
        <v>254</v>
      </c>
      <c r="F18" s="18">
        <f t="shared" si="0"/>
        <v>8132064</v>
      </c>
      <c r="G18" s="18">
        <f>'AT3B_cvrg(Insti)_UPY '!L17+'AT3C_cvrg(Insti)_UPY '!L17</f>
        <v>560</v>
      </c>
      <c r="H18" s="308">
        <f>'enrolment vs availed_UPY'!M17+'enrolment vs availed_UPY'!N17+'enrolment vs availed_UPY'!P17</f>
        <v>4757035</v>
      </c>
      <c r="I18" s="18">
        <v>178</v>
      </c>
      <c r="J18" s="308">
        <f t="shared" si="1"/>
        <v>26724.915730337078</v>
      </c>
    </row>
    <row r="19" spans="1:10" x14ac:dyDescent="0.2">
      <c r="A19" s="17">
        <v>8</v>
      </c>
      <c r="B19" s="176" t="s">
        <v>903</v>
      </c>
      <c r="C19" s="18">
        <v>687</v>
      </c>
      <c r="D19" s="308">
        <v>55485</v>
      </c>
      <c r="E19" s="18">
        <v>254</v>
      </c>
      <c r="F19" s="18">
        <f t="shared" si="0"/>
        <v>14093190</v>
      </c>
      <c r="G19" s="18">
        <f>'AT3B_cvrg(Insti)_UPY '!L18+'AT3C_cvrg(Insti)_UPY '!L18</f>
        <v>687</v>
      </c>
      <c r="H19" s="308">
        <f>'enrolment vs availed_UPY'!M18+'enrolment vs availed_UPY'!N18+'enrolment vs availed_UPY'!P18</f>
        <v>9270065</v>
      </c>
      <c r="I19" s="18">
        <v>178</v>
      </c>
      <c r="J19" s="308">
        <f t="shared" si="1"/>
        <v>52079.016853932582</v>
      </c>
    </row>
    <row r="20" spans="1:10" x14ac:dyDescent="0.2">
      <c r="A20" s="17">
        <v>9</v>
      </c>
      <c r="B20" s="176" t="s">
        <v>904</v>
      </c>
      <c r="C20" s="18">
        <v>1296</v>
      </c>
      <c r="D20" s="308">
        <v>85229</v>
      </c>
      <c r="E20" s="18">
        <v>254</v>
      </c>
      <c r="F20" s="18">
        <f t="shared" si="0"/>
        <v>21648166</v>
      </c>
      <c r="G20" s="18">
        <f>'AT3B_cvrg(Insti)_UPY '!L19+'AT3C_cvrg(Insti)_UPY '!L19</f>
        <v>1296</v>
      </c>
      <c r="H20" s="308">
        <f>'enrolment vs availed_UPY'!M19+'enrolment vs availed_UPY'!N19+'enrolment vs availed_UPY'!P19</f>
        <v>14239367</v>
      </c>
      <c r="I20" s="18">
        <v>178</v>
      </c>
      <c r="J20" s="308">
        <f t="shared" si="1"/>
        <v>79996.443820224726</v>
      </c>
    </row>
    <row r="21" spans="1:10" x14ac:dyDescent="0.2">
      <c r="A21" s="17">
        <v>10</v>
      </c>
      <c r="B21" s="176" t="s">
        <v>905</v>
      </c>
      <c r="C21" s="18">
        <v>405</v>
      </c>
      <c r="D21" s="308">
        <v>27130</v>
      </c>
      <c r="E21" s="18">
        <v>254</v>
      </c>
      <c r="F21" s="18">
        <f t="shared" si="0"/>
        <v>6891020</v>
      </c>
      <c r="G21" s="18">
        <f>'AT3B_cvrg(Insti)_UPY '!L20+'AT3C_cvrg(Insti)_UPY '!L20</f>
        <v>405</v>
      </c>
      <c r="H21" s="308">
        <f>'enrolment vs availed_UPY'!M20+'enrolment vs availed_UPY'!N20+'enrolment vs availed_UPY'!P20</f>
        <v>4028163</v>
      </c>
      <c r="I21" s="18">
        <v>178</v>
      </c>
      <c r="J21" s="308">
        <f t="shared" si="1"/>
        <v>22630.129213483146</v>
      </c>
    </row>
    <row r="22" spans="1:10" x14ac:dyDescent="0.2">
      <c r="A22" s="17">
        <v>11</v>
      </c>
      <c r="B22" s="176" t="s">
        <v>906</v>
      </c>
      <c r="C22" s="18">
        <v>440</v>
      </c>
      <c r="D22" s="308">
        <v>45281</v>
      </c>
      <c r="E22" s="18">
        <v>254</v>
      </c>
      <c r="F22" s="18">
        <f t="shared" si="0"/>
        <v>11501374</v>
      </c>
      <c r="G22" s="18">
        <f>'AT3B_cvrg(Insti)_UPY '!L21+'AT3C_cvrg(Insti)_UPY '!L21</f>
        <v>440</v>
      </c>
      <c r="H22" s="308">
        <f>'enrolment vs availed_UPY'!M21+'enrolment vs availed_UPY'!N21+'enrolment vs availed_UPY'!P21</f>
        <v>7707204</v>
      </c>
      <c r="I22" s="18">
        <v>178</v>
      </c>
      <c r="J22" s="308">
        <f t="shared" si="1"/>
        <v>43298.898876404492</v>
      </c>
    </row>
    <row r="23" spans="1:10" x14ac:dyDescent="0.2">
      <c r="A23" s="17">
        <v>12</v>
      </c>
      <c r="B23" s="269" t="s">
        <v>907</v>
      </c>
      <c r="C23" s="18">
        <v>580</v>
      </c>
      <c r="D23" s="308">
        <v>50641</v>
      </c>
      <c r="E23" s="18">
        <v>254</v>
      </c>
      <c r="F23" s="18">
        <f t="shared" si="0"/>
        <v>12862814</v>
      </c>
      <c r="G23" s="18">
        <f>'AT3B_cvrg(Insti)_UPY '!L22+'AT3C_cvrg(Insti)_UPY '!L22</f>
        <v>580</v>
      </c>
      <c r="H23" s="308">
        <f>'enrolment vs availed_UPY'!M22+'enrolment vs availed_UPY'!N22+'enrolment vs availed_UPY'!P22</f>
        <v>7294497</v>
      </c>
      <c r="I23" s="18">
        <v>178</v>
      </c>
      <c r="J23" s="308">
        <f t="shared" si="1"/>
        <v>40980.3202247191</v>
      </c>
    </row>
    <row r="24" spans="1:10" x14ac:dyDescent="0.2">
      <c r="A24" s="17">
        <v>13</v>
      </c>
      <c r="B24" s="176" t="s">
        <v>908</v>
      </c>
      <c r="C24" s="18">
        <v>240</v>
      </c>
      <c r="D24" s="308">
        <v>24469</v>
      </c>
      <c r="E24" s="18">
        <v>254</v>
      </c>
      <c r="F24" s="18">
        <f t="shared" si="0"/>
        <v>6215126</v>
      </c>
      <c r="G24" s="18">
        <f>'AT3B_cvrg(Insti)_UPY '!L23+'AT3C_cvrg(Insti)_UPY '!L23</f>
        <v>240</v>
      </c>
      <c r="H24" s="308">
        <f>'enrolment vs availed_UPY'!M23+'enrolment vs availed_UPY'!N23+'enrolment vs availed_UPY'!P23</f>
        <v>3474005</v>
      </c>
      <c r="I24" s="18">
        <v>178</v>
      </c>
      <c r="J24" s="308">
        <f t="shared" si="1"/>
        <v>19516.882022471909</v>
      </c>
    </row>
    <row r="25" spans="1:10" x14ac:dyDescent="0.2">
      <c r="A25" s="17">
        <v>14</v>
      </c>
      <c r="B25" s="176" t="s">
        <v>909</v>
      </c>
      <c r="C25" s="18">
        <v>296</v>
      </c>
      <c r="D25" s="308">
        <v>24472</v>
      </c>
      <c r="E25" s="18">
        <v>254</v>
      </c>
      <c r="F25" s="18">
        <f t="shared" si="0"/>
        <v>6215888</v>
      </c>
      <c r="G25" s="18">
        <f>'AT3B_cvrg(Insti)_UPY '!L24+'AT3C_cvrg(Insti)_UPY '!L24</f>
        <v>296</v>
      </c>
      <c r="H25" s="308">
        <f>'enrolment vs availed_UPY'!M24+'enrolment vs availed_UPY'!N24+'enrolment vs availed_UPY'!P24</f>
        <v>3601955</v>
      </c>
      <c r="I25" s="18">
        <v>178</v>
      </c>
      <c r="J25" s="308">
        <f t="shared" si="1"/>
        <v>20235.70224719101</v>
      </c>
    </row>
    <row r="26" spans="1:10" x14ac:dyDescent="0.2">
      <c r="A26" s="17">
        <v>15</v>
      </c>
      <c r="B26" s="176" t="s">
        <v>910</v>
      </c>
      <c r="C26" s="18">
        <v>644</v>
      </c>
      <c r="D26" s="308">
        <v>54562</v>
      </c>
      <c r="E26" s="18">
        <v>254</v>
      </c>
      <c r="F26" s="18">
        <f t="shared" si="0"/>
        <v>13858748</v>
      </c>
      <c r="G26" s="18">
        <f>'AT3B_cvrg(Insti)_UPY '!L25+'AT3C_cvrg(Insti)_UPY '!L25</f>
        <v>644</v>
      </c>
      <c r="H26" s="308">
        <f>'enrolment vs availed_UPY'!M25+'enrolment vs availed_UPY'!N25+'enrolment vs availed_UPY'!P25</f>
        <v>7946429</v>
      </c>
      <c r="I26" s="18">
        <v>178</v>
      </c>
      <c r="J26" s="308">
        <f t="shared" si="1"/>
        <v>44642.8595505618</v>
      </c>
    </row>
    <row r="27" spans="1:10" x14ac:dyDescent="0.2">
      <c r="A27" s="17">
        <v>16</v>
      </c>
      <c r="B27" s="176" t="s">
        <v>911</v>
      </c>
      <c r="C27" s="18">
        <v>1248</v>
      </c>
      <c r="D27" s="308">
        <v>62256</v>
      </c>
      <c r="E27" s="18">
        <v>254</v>
      </c>
      <c r="F27" s="18">
        <f t="shared" si="0"/>
        <v>15813024</v>
      </c>
      <c r="G27" s="18">
        <f>'AT3B_cvrg(Insti)_UPY '!L26+'AT3C_cvrg(Insti)_UPY '!L26</f>
        <v>1248</v>
      </c>
      <c r="H27" s="308">
        <f>'enrolment vs availed_UPY'!M26+'enrolment vs availed_UPY'!N26+'enrolment vs availed_UPY'!P26</f>
        <v>10683381</v>
      </c>
      <c r="I27" s="18">
        <v>178</v>
      </c>
      <c r="J27" s="308">
        <f t="shared" si="1"/>
        <v>60018.994382022473</v>
      </c>
    </row>
    <row r="28" spans="1:10" x14ac:dyDescent="0.2">
      <c r="A28" s="17">
        <v>17</v>
      </c>
      <c r="B28" s="176" t="s">
        <v>912</v>
      </c>
      <c r="C28" s="18">
        <v>603</v>
      </c>
      <c r="D28" s="308">
        <v>57075</v>
      </c>
      <c r="E28" s="18">
        <v>254</v>
      </c>
      <c r="F28" s="18">
        <f t="shared" si="0"/>
        <v>14497050</v>
      </c>
      <c r="G28" s="18">
        <f>'AT3B_cvrg(Insti)_UPY '!L27+'AT3C_cvrg(Insti)_UPY '!L27</f>
        <v>603</v>
      </c>
      <c r="H28" s="308">
        <f>'enrolment vs availed_UPY'!M27+'enrolment vs availed_UPY'!N27+'enrolment vs availed_UPY'!P27</f>
        <v>8819092</v>
      </c>
      <c r="I28" s="18">
        <v>178</v>
      </c>
      <c r="J28" s="308">
        <f t="shared" si="1"/>
        <v>49545.460674157301</v>
      </c>
    </row>
    <row r="29" spans="1:10" x14ac:dyDescent="0.2">
      <c r="A29" s="17">
        <v>18</v>
      </c>
      <c r="B29" s="176" t="s">
        <v>913</v>
      </c>
      <c r="C29" s="18">
        <v>532</v>
      </c>
      <c r="D29" s="308">
        <v>47864</v>
      </c>
      <c r="E29" s="18">
        <v>254</v>
      </c>
      <c r="F29" s="18">
        <f t="shared" si="0"/>
        <v>12157456</v>
      </c>
      <c r="G29" s="18">
        <f>'AT3B_cvrg(Insti)_UPY '!L28+'AT3C_cvrg(Insti)_UPY '!L28</f>
        <v>532</v>
      </c>
      <c r="H29" s="308">
        <f>'enrolment vs availed_UPY'!M28+'enrolment vs availed_UPY'!N28+'enrolment vs availed_UPY'!P28</f>
        <v>7055667</v>
      </c>
      <c r="I29" s="18">
        <v>178</v>
      </c>
      <c r="J29" s="308">
        <f t="shared" si="1"/>
        <v>39638.578651685391</v>
      </c>
    </row>
    <row r="30" spans="1:10" x14ac:dyDescent="0.2">
      <c r="A30" s="17">
        <v>19</v>
      </c>
      <c r="B30" s="176" t="s">
        <v>914</v>
      </c>
      <c r="C30" s="18">
        <v>810</v>
      </c>
      <c r="D30" s="308">
        <v>35779</v>
      </c>
      <c r="E30" s="18">
        <v>254</v>
      </c>
      <c r="F30" s="18">
        <f t="shared" si="0"/>
        <v>9087866</v>
      </c>
      <c r="G30" s="18">
        <f>'AT3B_cvrg(Insti)_UPY '!L29+'AT3C_cvrg(Insti)_UPY '!L29</f>
        <v>810</v>
      </c>
      <c r="H30" s="308">
        <f>'enrolment vs availed_UPY'!M29+'enrolment vs availed_UPY'!N29+'enrolment vs availed_UPY'!P29</f>
        <v>6733318</v>
      </c>
      <c r="I30" s="18">
        <v>178</v>
      </c>
      <c r="J30" s="308">
        <f t="shared" si="1"/>
        <v>37827.629213483146</v>
      </c>
    </row>
    <row r="31" spans="1:10" x14ac:dyDescent="0.2">
      <c r="A31" s="17">
        <v>20</v>
      </c>
      <c r="B31" s="176" t="s">
        <v>915</v>
      </c>
      <c r="C31" s="18">
        <v>415</v>
      </c>
      <c r="D31" s="308">
        <v>24890</v>
      </c>
      <c r="E31" s="18">
        <v>254</v>
      </c>
      <c r="F31" s="18">
        <f t="shared" si="0"/>
        <v>6322060</v>
      </c>
      <c r="G31" s="18">
        <f>'AT3B_cvrg(Insti)_UPY '!L30+'AT3C_cvrg(Insti)_UPY '!L30</f>
        <v>415</v>
      </c>
      <c r="H31" s="308">
        <f>'enrolment vs availed_UPY'!M30+'enrolment vs availed_UPY'!N30+'enrolment vs availed_UPY'!P30</f>
        <v>3534992</v>
      </c>
      <c r="I31" s="18">
        <v>178</v>
      </c>
      <c r="J31" s="308">
        <f t="shared" si="1"/>
        <v>19859.505617977527</v>
      </c>
    </row>
    <row r="32" spans="1:10" x14ac:dyDescent="0.2">
      <c r="A32" s="17">
        <v>21</v>
      </c>
      <c r="B32" s="176" t="s">
        <v>916</v>
      </c>
      <c r="C32" s="18">
        <v>528</v>
      </c>
      <c r="D32" s="308">
        <v>31956</v>
      </c>
      <c r="E32" s="18">
        <v>254</v>
      </c>
      <c r="F32" s="18">
        <f t="shared" si="0"/>
        <v>8116824</v>
      </c>
      <c r="G32" s="18">
        <f>'AT3B_cvrg(Insti)_UPY '!L31+'AT3C_cvrg(Insti)_UPY '!L31</f>
        <v>528</v>
      </c>
      <c r="H32" s="308">
        <f>'enrolment vs availed_UPY'!M31+'enrolment vs availed_UPY'!N31+'enrolment vs availed_UPY'!P31</f>
        <v>5634556</v>
      </c>
      <c r="I32" s="18">
        <v>178</v>
      </c>
      <c r="J32" s="308">
        <f t="shared" si="1"/>
        <v>31654.808988764045</v>
      </c>
    </row>
    <row r="33" spans="1:10" x14ac:dyDescent="0.2">
      <c r="A33" s="17">
        <v>22</v>
      </c>
      <c r="B33" s="176" t="s">
        <v>917</v>
      </c>
      <c r="C33" s="18">
        <v>383</v>
      </c>
      <c r="D33" s="308">
        <v>17528</v>
      </c>
      <c r="E33" s="18">
        <v>254</v>
      </c>
      <c r="F33" s="18">
        <f t="shared" si="0"/>
        <v>4452112</v>
      </c>
      <c r="G33" s="18">
        <f>'AT3B_cvrg(Insti)_UPY '!L32+'AT3C_cvrg(Insti)_UPY '!L32</f>
        <v>383</v>
      </c>
      <c r="H33" s="308">
        <f>'enrolment vs availed_UPY'!M32+'enrolment vs availed_UPY'!N32+'enrolment vs availed_UPY'!P32</f>
        <v>3084204</v>
      </c>
      <c r="I33" s="18">
        <v>178</v>
      </c>
      <c r="J33" s="308">
        <f t="shared" si="1"/>
        <v>17326.988764044945</v>
      </c>
    </row>
    <row r="34" spans="1:10" x14ac:dyDescent="0.2">
      <c r="A34" s="17">
        <v>23</v>
      </c>
      <c r="B34" s="176" t="s">
        <v>918</v>
      </c>
      <c r="C34" s="18">
        <v>618</v>
      </c>
      <c r="D34" s="308">
        <v>39321</v>
      </c>
      <c r="E34" s="18">
        <v>254</v>
      </c>
      <c r="F34" s="18">
        <f t="shared" si="0"/>
        <v>9987534</v>
      </c>
      <c r="G34" s="18">
        <f>'AT3B_cvrg(Insti)_UPY '!L33+'AT3C_cvrg(Insti)_UPY '!L33</f>
        <v>618</v>
      </c>
      <c r="H34" s="308">
        <f>'enrolment vs availed_UPY'!M33+'enrolment vs availed_UPY'!N33+'enrolment vs availed_UPY'!P33</f>
        <v>6387844</v>
      </c>
      <c r="I34" s="18">
        <v>178</v>
      </c>
      <c r="J34" s="308">
        <f t="shared" si="1"/>
        <v>35886.764044943819</v>
      </c>
    </row>
    <row r="35" spans="1:10" x14ac:dyDescent="0.2">
      <c r="A35" s="17">
        <v>24</v>
      </c>
      <c r="B35" s="176" t="s">
        <v>919</v>
      </c>
      <c r="C35" s="18">
        <v>649</v>
      </c>
      <c r="D35" s="308">
        <v>69714</v>
      </c>
      <c r="E35" s="18">
        <v>254</v>
      </c>
      <c r="F35" s="18">
        <f t="shared" si="0"/>
        <v>17707356</v>
      </c>
      <c r="G35" s="18">
        <f>'AT3B_cvrg(Insti)_UPY '!L34+'AT3C_cvrg(Insti)_UPY '!L34</f>
        <v>649</v>
      </c>
      <c r="H35" s="308">
        <f>'enrolment vs availed_UPY'!M34+'enrolment vs availed_UPY'!N34+'enrolment vs availed_UPY'!P34</f>
        <v>8733457</v>
      </c>
      <c r="I35" s="18">
        <v>178</v>
      </c>
      <c r="J35" s="308">
        <f t="shared" si="1"/>
        <v>49064.365168539327</v>
      </c>
    </row>
    <row r="36" spans="1:10" s="14" customFormat="1" x14ac:dyDescent="0.2">
      <c r="A36" s="802" t="s">
        <v>18</v>
      </c>
      <c r="B36" s="802"/>
      <c r="C36" s="310">
        <f>SUM(C12:C35)</f>
        <v>13935</v>
      </c>
      <c r="D36" s="310">
        <f>SUM(D12:D35)</f>
        <v>997048</v>
      </c>
      <c r="E36" s="310"/>
      <c r="F36" s="310">
        <f>SUM(F12:F35)</f>
        <v>253250192</v>
      </c>
      <c r="G36" s="27">
        <f>SUM(G12:G35)</f>
        <v>13935</v>
      </c>
      <c r="H36" s="27">
        <f>SUM(H12:H35)</f>
        <v>155369232</v>
      </c>
      <c r="I36" s="27"/>
      <c r="J36" s="310">
        <f>SUM(J12:J35)</f>
        <v>872860.85393258429</v>
      </c>
    </row>
    <row r="37" spans="1:10" x14ac:dyDescent="0.2">
      <c r="A37" s="938" t="s">
        <v>712</v>
      </c>
      <c r="B37" s="938"/>
      <c r="C37" s="938"/>
      <c r="D37" s="938"/>
      <c r="E37" s="938"/>
      <c r="F37" s="938"/>
      <c r="G37" s="938"/>
      <c r="H37" s="938"/>
      <c r="I37" s="20"/>
      <c r="J37" s="20"/>
    </row>
    <row r="38" spans="1:10" x14ac:dyDescent="0.2">
      <c r="A38" s="11"/>
      <c r="B38" s="28"/>
      <c r="C38" s="28"/>
      <c r="D38" s="20"/>
      <c r="E38" s="20"/>
      <c r="F38" s="20"/>
      <c r="G38" s="20"/>
      <c r="H38" s="20"/>
      <c r="I38" s="20"/>
      <c r="J38" s="20"/>
    </row>
    <row r="39" spans="1:10" ht="15.75" customHeight="1" x14ac:dyDescent="0.2">
      <c r="A39" s="14" t="s">
        <v>11</v>
      </c>
      <c r="B39" s="14"/>
      <c r="C39" s="14"/>
      <c r="D39" s="14"/>
      <c r="E39" s="14"/>
      <c r="F39" s="14"/>
      <c r="G39" s="14"/>
      <c r="I39" s="821" t="s">
        <v>12</v>
      </c>
      <c r="J39" s="821"/>
    </row>
    <row r="40" spans="1:10" ht="12.75" customHeight="1" x14ac:dyDescent="0.2">
      <c r="A40" s="803" t="s">
        <v>13</v>
      </c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2.75" customHeight="1" x14ac:dyDescent="0.2">
      <c r="A41" s="803" t="s">
        <v>19</v>
      </c>
      <c r="B41" s="803"/>
      <c r="C41" s="803"/>
      <c r="D41" s="803"/>
      <c r="E41" s="803"/>
      <c r="F41" s="803"/>
      <c r="G41" s="803"/>
      <c r="H41" s="803"/>
      <c r="I41" s="803"/>
      <c r="J41" s="803"/>
    </row>
    <row r="42" spans="1:10" x14ac:dyDescent="0.2">
      <c r="A42" s="14"/>
      <c r="B42" s="14"/>
      <c r="C42" s="14"/>
      <c r="E42" s="14"/>
      <c r="H42" s="820" t="s">
        <v>84</v>
      </c>
      <c r="I42" s="820"/>
      <c r="J42" s="820"/>
    </row>
    <row r="46" spans="1:10" x14ac:dyDescent="0.2">
      <c r="A46" s="939"/>
      <c r="B46" s="939"/>
      <c r="C46" s="939"/>
      <c r="D46" s="939"/>
      <c r="E46" s="939"/>
      <c r="F46" s="939"/>
      <c r="G46" s="939"/>
      <c r="H46" s="939"/>
      <c r="I46" s="939"/>
      <c r="J46" s="939"/>
    </row>
    <row r="48" spans="1:10" x14ac:dyDescent="0.2">
      <c r="A48" s="939"/>
      <c r="B48" s="939"/>
      <c r="C48" s="939"/>
      <c r="D48" s="939"/>
      <c r="E48" s="939"/>
      <c r="F48" s="939"/>
      <c r="G48" s="939"/>
      <c r="H48" s="939"/>
      <c r="I48" s="939"/>
      <c r="J48" s="939"/>
    </row>
  </sheetData>
  <mergeCells count="18">
    <mergeCell ref="E1:I1"/>
    <mergeCell ref="A2:J2"/>
    <mergeCell ref="A3:J3"/>
    <mergeCell ref="A5:J5"/>
    <mergeCell ref="A8:B8"/>
    <mergeCell ref="H8:J8"/>
    <mergeCell ref="A41:J41"/>
    <mergeCell ref="H42:J42"/>
    <mergeCell ref="A46:J46"/>
    <mergeCell ref="A48:J48"/>
    <mergeCell ref="A9:A10"/>
    <mergeCell ref="B9:B10"/>
    <mergeCell ref="C9:F9"/>
    <mergeCell ref="G9:J9"/>
    <mergeCell ref="I39:J39"/>
    <mergeCell ref="A36:B36"/>
    <mergeCell ref="A40:J40"/>
    <mergeCell ref="A37:H37"/>
  </mergeCells>
  <printOptions horizontalCentered="1"/>
  <pageMargins left="0.56000000000000005" right="0.37" top="0.23622047244094491" bottom="0" header="0.25" footer="0.18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48"/>
  <sheetViews>
    <sheetView topLeftCell="A15" zoomScaleNormal="100" zoomScaleSheetLayoutView="100" workbookViewId="0">
      <selection activeCell="J36" sqref="J36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53"/>
      <c r="F1" s="853"/>
      <c r="G1" s="853"/>
      <c r="H1" s="853"/>
      <c r="I1" s="853"/>
      <c r="J1" s="123" t="s">
        <v>359</v>
      </c>
    </row>
    <row r="2" spans="1:16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6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6" customFormat="1" ht="14.25" customHeight="1" x14ac:dyDescent="0.2"/>
    <row r="5" spans="1:16" ht="19.5" customHeight="1" x14ac:dyDescent="0.25">
      <c r="A5" s="931" t="s">
        <v>801</v>
      </c>
      <c r="B5" s="931"/>
      <c r="C5" s="931"/>
      <c r="D5" s="931"/>
      <c r="E5" s="931"/>
      <c r="F5" s="931"/>
      <c r="G5" s="931"/>
      <c r="H5" s="931"/>
      <c r="I5" s="931"/>
      <c r="J5" s="93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6" x14ac:dyDescent="0.2">
      <c r="A8" s="820" t="s">
        <v>920</v>
      </c>
      <c r="B8" s="820"/>
      <c r="C8" s="29"/>
      <c r="H8" s="921" t="s">
        <v>830</v>
      </c>
      <c r="I8" s="921"/>
      <c r="J8" s="921"/>
    </row>
    <row r="9" spans="1:16" x14ac:dyDescent="0.2">
      <c r="A9" s="834" t="s">
        <v>2</v>
      </c>
      <c r="B9" s="834" t="s">
        <v>3</v>
      </c>
      <c r="C9" s="802" t="s">
        <v>802</v>
      </c>
      <c r="D9" s="802"/>
      <c r="E9" s="802"/>
      <c r="F9" s="802"/>
      <c r="G9" s="802" t="s">
        <v>105</v>
      </c>
      <c r="H9" s="802"/>
      <c r="I9" s="802"/>
      <c r="J9" s="802"/>
      <c r="O9" s="18"/>
      <c r="P9" s="20"/>
    </row>
    <row r="10" spans="1:16" ht="77.45" customHeight="1" x14ac:dyDescent="0.2">
      <c r="A10" s="834"/>
      <c r="B10" s="834"/>
      <c r="C10" s="5" t="s">
        <v>180</v>
      </c>
      <c r="D10" s="5" t="s">
        <v>16</v>
      </c>
      <c r="E10" s="36" t="s">
        <v>820</v>
      </c>
      <c r="F10" s="5" t="s">
        <v>196</v>
      </c>
      <c r="G10" s="5" t="s">
        <v>180</v>
      </c>
      <c r="H10" s="24" t="s">
        <v>17</v>
      </c>
      <c r="I10" s="24" t="s">
        <v>710</v>
      </c>
      <c r="J10" s="5" t="s">
        <v>711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6" x14ac:dyDescent="0.2">
      <c r="A12" s="17">
        <v>1</v>
      </c>
      <c r="B12" s="176" t="s">
        <v>896</v>
      </c>
      <c r="C12" s="18">
        <v>28</v>
      </c>
      <c r="D12" s="308">
        <v>639</v>
      </c>
      <c r="E12" s="18">
        <v>312</v>
      </c>
      <c r="F12" s="18">
        <f>D12*E12</f>
        <v>199368</v>
      </c>
      <c r="G12" s="18">
        <f>'AT3A_cvrg(Insti)_PY'!J12</f>
        <v>28</v>
      </c>
      <c r="H12" s="308">
        <f>'enrolment vs availed_PY'!O11</f>
        <v>97085</v>
      </c>
      <c r="I12" s="18">
        <v>234</v>
      </c>
      <c r="J12" s="308">
        <f>H12/I12</f>
        <v>414.89316239316241</v>
      </c>
    </row>
    <row r="13" spans="1:16" x14ac:dyDescent="0.2">
      <c r="A13" s="17">
        <v>2</v>
      </c>
      <c r="B13" s="176" t="s">
        <v>897</v>
      </c>
      <c r="C13" s="18">
        <v>0</v>
      </c>
      <c r="D13" s="308">
        <v>0</v>
      </c>
      <c r="E13" s="18">
        <v>0</v>
      </c>
      <c r="F13" s="18">
        <f t="shared" ref="F13:F35" si="0">D13*E13</f>
        <v>0</v>
      </c>
      <c r="G13" s="18">
        <f>'AT3A_cvrg(Insti)_PY'!J13</f>
        <v>0</v>
      </c>
      <c r="H13" s="308">
        <f>'enrolment vs availed_PY'!O12</f>
        <v>0</v>
      </c>
      <c r="I13" s="18">
        <v>234</v>
      </c>
      <c r="J13" s="308">
        <f t="shared" ref="J13:J35" si="1">H13/I13</f>
        <v>0</v>
      </c>
    </row>
    <row r="14" spans="1:16" x14ac:dyDescent="0.2">
      <c r="A14" s="17">
        <v>3</v>
      </c>
      <c r="B14" s="176" t="s">
        <v>898</v>
      </c>
      <c r="C14" s="18">
        <v>0</v>
      </c>
      <c r="D14" s="308">
        <v>0</v>
      </c>
      <c r="E14" s="18">
        <v>0</v>
      </c>
      <c r="F14" s="18">
        <f t="shared" si="0"/>
        <v>0</v>
      </c>
      <c r="G14" s="18">
        <f>'AT3A_cvrg(Insti)_PY'!J14</f>
        <v>0</v>
      </c>
      <c r="H14" s="308">
        <f>'enrolment vs availed_PY'!O13</f>
        <v>0</v>
      </c>
      <c r="I14" s="18">
        <v>234</v>
      </c>
      <c r="J14" s="308">
        <f t="shared" si="1"/>
        <v>0</v>
      </c>
    </row>
    <row r="15" spans="1:16" x14ac:dyDescent="0.2">
      <c r="A15" s="17">
        <v>4</v>
      </c>
      <c r="B15" s="176" t="s">
        <v>899</v>
      </c>
      <c r="C15" s="18">
        <v>0</v>
      </c>
      <c r="D15" s="308">
        <v>0</v>
      </c>
      <c r="E15" s="18">
        <v>0</v>
      </c>
      <c r="F15" s="18">
        <f t="shared" si="0"/>
        <v>0</v>
      </c>
      <c r="G15" s="18">
        <f>'AT3A_cvrg(Insti)_PY'!J15</f>
        <v>0</v>
      </c>
      <c r="H15" s="308">
        <f>'enrolment vs availed_PY'!O14</f>
        <v>0</v>
      </c>
      <c r="I15" s="18">
        <v>234</v>
      </c>
      <c r="J15" s="308">
        <f t="shared" si="1"/>
        <v>0</v>
      </c>
    </row>
    <row r="16" spans="1:16" x14ac:dyDescent="0.2">
      <c r="A16" s="17">
        <v>5</v>
      </c>
      <c r="B16" s="176" t="s">
        <v>900</v>
      </c>
      <c r="C16" s="18">
        <v>0</v>
      </c>
      <c r="D16" s="308">
        <v>0</v>
      </c>
      <c r="E16" s="18">
        <v>0</v>
      </c>
      <c r="F16" s="18">
        <f t="shared" si="0"/>
        <v>0</v>
      </c>
      <c r="G16" s="18">
        <f>'AT3A_cvrg(Insti)_PY'!J16</f>
        <v>0</v>
      </c>
      <c r="H16" s="308">
        <f>'enrolment vs availed_PY'!O15</f>
        <v>0</v>
      </c>
      <c r="I16" s="18">
        <v>234</v>
      </c>
      <c r="J16" s="308">
        <f t="shared" si="1"/>
        <v>0</v>
      </c>
    </row>
    <row r="17" spans="1:10" x14ac:dyDescent="0.2">
      <c r="A17" s="17">
        <v>6</v>
      </c>
      <c r="B17" s="176" t="s">
        <v>901</v>
      </c>
      <c r="C17" s="18">
        <v>0</v>
      </c>
      <c r="D17" s="308">
        <v>0</v>
      </c>
      <c r="E17" s="18">
        <v>0</v>
      </c>
      <c r="F17" s="18">
        <f t="shared" si="0"/>
        <v>0</v>
      </c>
      <c r="G17" s="18">
        <f>'AT3A_cvrg(Insti)_PY'!J17</f>
        <v>0</v>
      </c>
      <c r="H17" s="308">
        <f>'enrolment vs availed_PY'!O16</f>
        <v>0</v>
      </c>
      <c r="I17" s="18">
        <v>234</v>
      </c>
      <c r="J17" s="308">
        <f t="shared" si="1"/>
        <v>0</v>
      </c>
    </row>
    <row r="18" spans="1:10" x14ac:dyDescent="0.2">
      <c r="A18" s="17">
        <v>7</v>
      </c>
      <c r="B18" s="176" t="s">
        <v>902</v>
      </c>
      <c r="C18" s="18">
        <v>0</v>
      </c>
      <c r="D18" s="308">
        <v>0</v>
      </c>
      <c r="E18" s="18">
        <v>0</v>
      </c>
      <c r="F18" s="18">
        <f t="shared" si="0"/>
        <v>0</v>
      </c>
      <c r="G18" s="18">
        <f>'AT3A_cvrg(Insti)_PY'!J18</f>
        <v>0</v>
      </c>
      <c r="H18" s="308">
        <f>'enrolment vs availed_PY'!O17</f>
        <v>0</v>
      </c>
      <c r="I18" s="18">
        <v>234</v>
      </c>
      <c r="J18" s="308">
        <f t="shared" si="1"/>
        <v>0</v>
      </c>
    </row>
    <row r="19" spans="1:10" x14ac:dyDescent="0.2">
      <c r="A19" s="17">
        <v>8</v>
      </c>
      <c r="B19" s="176" t="s">
        <v>903</v>
      </c>
      <c r="C19" s="18">
        <v>26</v>
      </c>
      <c r="D19" s="308">
        <v>481</v>
      </c>
      <c r="E19" s="18">
        <v>312</v>
      </c>
      <c r="F19" s="18">
        <f t="shared" si="0"/>
        <v>150072</v>
      </c>
      <c r="G19" s="18">
        <f>'AT3A_cvrg(Insti)_PY'!J19</f>
        <v>26</v>
      </c>
      <c r="H19" s="308">
        <f>'enrolment vs availed_PY'!O18</f>
        <v>27979</v>
      </c>
      <c r="I19" s="18">
        <v>234</v>
      </c>
      <c r="J19" s="308">
        <f t="shared" si="1"/>
        <v>119.56837606837607</v>
      </c>
    </row>
    <row r="20" spans="1:10" x14ac:dyDescent="0.2">
      <c r="A20" s="17">
        <v>9</v>
      </c>
      <c r="B20" s="176" t="s">
        <v>904</v>
      </c>
      <c r="C20" s="18">
        <v>0</v>
      </c>
      <c r="D20" s="308">
        <v>0</v>
      </c>
      <c r="E20" s="18">
        <v>0</v>
      </c>
      <c r="F20" s="18">
        <f t="shared" si="0"/>
        <v>0</v>
      </c>
      <c r="G20" s="18">
        <f>'AT3A_cvrg(Insti)_PY'!J20</f>
        <v>0</v>
      </c>
      <c r="H20" s="308">
        <f>'enrolment vs availed_PY'!O19</f>
        <v>0</v>
      </c>
      <c r="I20" s="18">
        <v>234</v>
      </c>
      <c r="J20" s="308">
        <f t="shared" si="1"/>
        <v>0</v>
      </c>
    </row>
    <row r="21" spans="1:10" x14ac:dyDescent="0.2">
      <c r="A21" s="17">
        <v>10</v>
      </c>
      <c r="B21" s="176" t="s">
        <v>905</v>
      </c>
      <c r="C21" s="18">
        <v>0</v>
      </c>
      <c r="D21" s="308">
        <v>0</v>
      </c>
      <c r="E21" s="18">
        <v>0</v>
      </c>
      <c r="F21" s="18">
        <f t="shared" si="0"/>
        <v>0</v>
      </c>
      <c r="G21" s="18">
        <f>'AT3A_cvrg(Insti)_PY'!J21</f>
        <v>0</v>
      </c>
      <c r="H21" s="308">
        <f>'enrolment vs availed_PY'!O20</f>
        <v>0</v>
      </c>
      <c r="I21" s="18">
        <v>234</v>
      </c>
      <c r="J21" s="308">
        <f t="shared" si="1"/>
        <v>0</v>
      </c>
    </row>
    <row r="22" spans="1:10" x14ac:dyDescent="0.2">
      <c r="A22" s="17">
        <v>11</v>
      </c>
      <c r="B22" s="176" t="s">
        <v>906</v>
      </c>
      <c r="C22" s="18">
        <v>25</v>
      </c>
      <c r="D22" s="308">
        <v>988</v>
      </c>
      <c r="E22" s="18">
        <v>312</v>
      </c>
      <c r="F22" s="18">
        <f t="shared" si="0"/>
        <v>308256</v>
      </c>
      <c r="G22" s="18">
        <f>'AT3A_cvrg(Insti)_PY'!J22</f>
        <v>25</v>
      </c>
      <c r="H22" s="308">
        <f>'enrolment vs availed_PY'!O21</f>
        <v>147886</v>
      </c>
      <c r="I22" s="18">
        <v>234</v>
      </c>
      <c r="J22" s="308">
        <f t="shared" si="1"/>
        <v>631.991452991453</v>
      </c>
    </row>
    <row r="23" spans="1:10" x14ac:dyDescent="0.2">
      <c r="A23" s="17">
        <v>12</v>
      </c>
      <c r="B23" s="269" t="s">
        <v>907</v>
      </c>
      <c r="C23" s="18">
        <v>12</v>
      </c>
      <c r="D23" s="308">
        <v>542</v>
      </c>
      <c r="E23" s="18">
        <v>312</v>
      </c>
      <c r="F23" s="18">
        <f t="shared" si="0"/>
        <v>169104</v>
      </c>
      <c r="G23" s="18">
        <f>'AT3A_cvrg(Insti)_PY'!J23</f>
        <v>12</v>
      </c>
      <c r="H23" s="308">
        <f>'enrolment vs availed_PY'!O22</f>
        <v>78968</v>
      </c>
      <c r="I23" s="18">
        <v>234</v>
      </c>
      <c r="J23" s="308">
        <f t="shared" si="1"/>
        <v>337.47008547008545</v>
      </c>
    </row>
    <row r="24" spans="1:10" x14ac:dyDescent="0.2">
      <c r="A24" s="17">
        <v>13</v>
      </c>
      <c r="B24" s="176" t="s">
        <v>908</v>
      </c>
      <c r="C24" s="18">
        <v>0</v>
      </c>
      <c r="D24" s="308">
        <v>0</v>
      </c>
      <c r="E24" s="18">
        <v>0</v>
      </c>
      <c r="F24" s="18">
        <f t="shared" si="0"/>
        <v>0</v>
      </c>
      <c r="G24" s="18">
        <f>'AT3A_cvrg(Insti)_PY'!J24</f>
        <v>0</v>
      </c>
      <c r="H24" s="308">
        <f>'enrolment vs availed_PY'!O23</f>
        <v>0</v>
      </c>
      <c r="I24" s="18">
        <v>234</v>
      </c>
      <c r="J24" s="308">
        <f t="shared" si="1"/>
        <v>0</v>
      </c>
    </row>
    <row r="25" spans="1:10" x14ac:dyDescent="0.2">
      <c r="A25" s="17">
        <v>14</v>
      </c>
      <c r="B25" s="176" t="s">
        <v>909</v>
      </c>
      <c r="C25" s="18">
        <v>0</v>
      </c>
      <c r="D25" s="308">
        <v>0</v>
      </c>
      <c r="E25" s="18">
        <v>0</v>
      </c>
      <c r="F25" s="18">
        <f t="shared" si="0"/>
        <v>0</v>
      </c>
      <c r="G25" s="18">
        <f>'AT3A_cvrg(Insti)_PY'!J25</f>
        <v>0</v>
      </c>
      <c r="H25" s="308">
        <f>'enrolment vs availed_PY'!O24</f>
        <v>0</v>
      </c>
      <c r="I25" s="18">
        <v>234</v>
      </c>
      <c r="J25" s="308">
        <f t="shared" si="1"/>
        <v>0</v>
      </c>
    </row>
    <row r="26" spans="1:10" x14ac:dyDescent="0.2">
      <c r="A26" s="17">
        <v>15</v>
      </c>
      <c r="B26" s="176" t="s">
        <v>910</v>
      </c>
      <c r="C26" s="18">
        <v>0</v>
      </c>
      <c r="D26" s="308">
        <v>0</v>
      </c>
      <c r="E26" s="18">
        <v>0</v>
      </c>
      <c r="F26" s="18">
        <f t="shared" si="0"/>
        <v>0</v>
      </c>
      <c r="G26" s="18">
        <f>'AT3A_cvrg(Insti)_PY'!J26</f>
        <v>0</v>
      </c>
      <c r="H26" s="308">
        <f>'enrolment vs availed_PY'!O25</f>
        <v>0</v>
      </c>
      <c r="I26" s="18">
        <v>234</v>
      </c>
      <c r="J26" s="308">
        <f t="shared" si="1"/>
        <v>0</v>
      </c>
    </row>
    <row r="27" spans="1:10" x14ac:dyDescent="0.2">
      <c r="A27" s="17">
        <v>16</v>
      </c>
      <c r="B27" s="176" t="s">
        <v>911</v>
      </c>
      <c r="C27" s="18">
        <v>0</v>
      </c>
      <c r="D27" s="308">
        <v>0</v>
      </c>
      <c r="E27" s="18">
        <v>0</v>
      </c>
      <c r="F27" s="18">
        <f t="shared" si="0"/>
        <v>0</v>
      </c>
      <c r="G27" s="18">
        <f>'AT3A_cvrg(Insti)_PY'!J27</f>
        <v>0</v>
      </c>
      <c r="H27" s="308">
        <f>'enrolment vs availed_PY'!O26</f>
        <v>0</v>
      </c>
      <c r="I27" s="18">
        <v>234</v>
      </c>
      <c r="J27" s="308">
        <f t="shared" si="1"/>
        <v>0</v>
      </c>
    </row>
    <row r="28" spans="1:10" x14ac:dyDescent="0.2">
      <c r="A28" s="17">
        <v>17</v>
      </c>
      <c r="B28" s="176" t="s">
        <v>912</v>
      </c>
      <c r="C28" s="18">
        <v>0</v>
      </c>
      <c r="D28" s="308">
        <v>0</v>
      </c>
      <c r="E28" s="18">
        <v>0</v>
      </c>
      <c r="F28" s="18">
        <f t="shared" si="0"/>
        <v>0</v>
      </c>
      <c r="G28" s="18">
        <f>'AT3A_cvrg(Insti)_PY'!J28</f>
        <v>0</v>
      </c>
      <c r="H28" s="308">
        <f>'enrolment vs availed_PY'!O27</f>
        <v>0</v>
      </c>
      <c r="I28" s="18">
        <v>234</v>
      </c>
      <c r="J28" s="308">
        <f t="shared" si="1"/>
        <v>0</v>
      </c>
    </row>
    <row r="29" spans="1:10" x14ac:dyDescent="0.2">
      <c r="A29" s="17">
        <v>18</v>
      </c>
      <c r="B29" s="176" t="s">
        <v>913</v>
      </c>
      <c r="C29" s="18">
        <v>0</v>
      </c>
      <c r="D29" s="308">
        <v>0</v>
      </c>
      <c r="E29" s="18">
        <v>0</v>
      </c>
      <c r="F29" s="18">
        <f t="shared" si="0"/>
        <v>0</v>
      </c>
      <c r="G29" s="18">
        <f>'AT3A_cvrg(Insti)_PY'!J29</f>
        <v>0</v>
      </c>
      <c r="H29" s="308">
        <f>'enrolment vs availed_PY'!O28</f>
        <v>0</v>
      </c>
      <c r="I29" s="18">
        <v>234</v>
      </c>
      <c r="J29" s="308">
        <f t="shared" si="1"/>
        <v>0</v>
      </c>
    </row>
    <row r="30" spans="1:10" x14ac:dyDescent="0.2">
      <c r="A30" s="17">
        <v>19</v>
      </c>
      <c r="B30" s="176" t="s">
        <v>914</v>
      </c>
      <c r="C30" s="18">
        <v>26</v>
      </c>
      <c r="D30" s="308">
        <v>506</v>
      </c>
      <c r="E30" s="18">
        <v>312</v>
      </c>
      <c r="F30" s="18">
        <f t="shared" si="0"/>
        <v>157872</v>
      </c>
      <c r="G30" s="18">
        <f>'AT3A_cvrg(Insti)_PY'!J30</f>
        <v>26</v>
      </c>
      <c r="H30" s="308">
        <f>'enrolment vs availed_PY'!O29</f>
        <v>161857</v>
      </c>
      <c r="I30" s="18">
        <v>234</v>
      </c>
      <c r="J30" s="308">
        <f t="shared" si="1"/>
        <v>691.69658119658118</v>
      </c>
    </row>
    <row r="31" spans="1:10" x14ac:dyDescent="0.2">
      <c r="A31" s="17">
        <v>20</v>
      </c>
      <c r="B31" s="176" t="s">
        <v>915</v>
      </c>
      <c r="C31" s="18">
        <v>0</v>
      </c>
      <c r="D31" s="308">
        <v>0</v>
      </c>
      <c r="E31" s="18">
        <v>0</v>
      </c>
      <c r="F31" s="18">
        <f t="shared" si="0"/>
        <v>0</v>
      </c>
      <c r="G31" s="18">
        <f>'AT3A_cvrg(Insti)_PY'!J31</f>
        <v>0</v>
      </c>
      <c r="H31" s="308">
        <f>'enrolment vs availed_PY'!O30</f>
        <v>0</v>
      </c>
      <c r="I31" s="18">
        <v>234</v>
      </c>
      <c r="J31" s="308">
        <f t="shared" si="1"/>
        <v>0</v>
      </c>
    </row>
    <row r="32" spans="1:10" x14ac:dyDescent="0.2">
      <c r="A32" s="17">
        <v>21</v>
      </c>
      <c r="B32" s="176" t="s">
        <v>916</v>
      </c>
      <c r="C32" s="18">
        <v>0</v>
      </c>
      <c r="D32" s="308">
        <v>192</v>
      </c>
      <c r="E32" s="18">
        <v>312</v>
      </c>
      <c r="F32" s="18">
        <f t="shared" si="0"/>
        <v>59904</v>
      </c>
      <c r="G32" s="18">
        <f>'AT3A_cvrg(Insti)_PY'!J32</f>
        <v>0</v>
      </c>
      <c r="H32" s="308">
        <f>'enrolment vs availed_PY'!O31</f>
        <v>0</v>
      </c>
      <c r="I32" s="18">
        <v>234</v>
      </c>
      <c r="J32" s="308">
        <f t="shared" si="1"/>
        <v>0</v>
      </c>
    </row>
    <row r="33" spans="1:10" x14ac:dyDescent="0.2">
      <c r="A33" s="17">
        <v>22</v>
      </c>
      <c r="B33" s="176" t="s">
        <v>917</v>
      </c>
      <c r="C33" s="18">
        <v>19</v>
      </c>
      <c r="D33" s="308">
        <v>52</v>
      </c>
      <c r="E33" s="18">
        <v>312</v>
      </c>
      <c r="F33" s="18">
        <f t="shared" si="0"/>
        <v>16224</v>
      </c>
      <c r="G33" s="18">
        <f>'AT3A_cvrg(Insti)_PY'!J33</f>
        <v>19</v>
      </c>
      <c r="H33" s="308">
        <f>'enrolment vs availed_PY'!O32</f>
        <v>496</v>
      </c>
      <c r="I33" s="18">
        <v>234</v>
      </c>
      <c r="J33" s="308">
        <f t="shared" si="1"/>
        <v>2.1196581196581197</v>
      </c>
    </row>
    <row r="34" spans="1:10" x14ac:dyDescent="0.2">
      <c r="A34" s="17">
        <v>23</v>
      </c>
      <c r="B34" s="176" t="s">
        <v>918</v>
      </c>
      <c r="C34" s="18">
        <v>0</v>
      </c>
      <c r="D34" s="308">
        <v>0</v>
      </c>
      <c r="E34" s="18">
        <v>0</v>
      </c>
      <c r="F34" s="18">
        <f t="shared" si="0"/>
        <v>0</v>
      </c>
      <c r="G34" s="18">
        <f>'AT3A_cvrg(Insti)_PY'!J34</f>
        <v>0</v>
      </c>
      <c r="H34" s="308">
        <f>'enrolment vs availed_PY'!O33</f>
        <v>0</v>
      </c>
      <c r="I34" s="18">
        <v>234</v>
      </c>
      <c r="J34" s="308">
        <f t="shared" si="1"/>
        <v>0</v>
      </c>
    </row>
    <row r="35" spans="1:10" x14ac:dyDescent="0.2">
      <c r="A35" s="17">
        <v>24</v>
      </c>
      <c r="B35" s="18" t="s">
        <v>919</v>
      </c>
      <c r="C35" s="18">
        <v>0</v>
      </c>
      <c r="D35" s="308">
        <v>0</v>
      </c>
      <c r="E35" s="18">
        <v>0</v>
      </c>
      <c r="F35" s="18">
        <f t="shared" si="0"/>
        <v>0</v>
      </c>
      <c r="G35" s="18">
        <f>'AT3A_cvrg(Insti)_PY'!J35</f>
        <v>0</v>
      </c>
      <c r="H35" s="308">
        <f>'enrolment vs availed_PY'!O34</f>
        <v>0</v>
      </c>
      <c r="I35" s="18">
        <v>234</v>
      </c>
      <c r="J35" s="308">
        <f t="shared" si="1"/>
        <v>0</v>
      </c>
    </row>
    <row r="36" spans="1:10" s="14" customFormat="1" x14ac:dyDescent="0.2">
      <c r="A36" s="802" t="s">
        <v>18</v>
      </c>
      <c r="B36" s="802"/>
      <c r="C36" s="27">
        <f>SUM(C12:C35)</f>
        <v>136</v>
      </c>
      <c r="D36" s="310">
        <f>SUM(D12:D35)</f>
        <v>3400</v>
      </c>
      <c r="E36" s="27"/>
      <c r="F36" s="27">
        <f>SUM(F12:F35)</f>
        <v>1060800</v>
      </c>
      <c r="G36" s="27">
        <f>SUM(G12:G35)</f>
        <v>136</v>
      </c>
      <c r="H36" s="27">
        <f>SUM(H12:H35)</f>
        <v>514271</v>
      </c>
      <c r="I36" s="27"/>
      <c r="J36" s="310">
        <f>SUM(J12:J35)</f>
        <v>2197.7393162393164</v>
      </c>
    </row>
    <row r="37" spans="1:10" x14ac:dyDescent="0.2">
      <c r="A37" s="938" t="s">
        <v>712</v>
      </c>
      <c r="B37" s="938"/>
      <c r="C37" s="938"/>
      <c r="D37" s="938"/>
      <c r="E37" s="938"/>
      <c r="F37" s="938"/>
      <c r="G37" s="938"/>
      <c r="H37" s="938"/>
      <c r="I37" s="20"/>
      <c r="J37" s="20"/>
    </row>
    <row r="38" spans="1:10" x14ac:dyDescent="0.2">
      <c r="A38" s="11"/>
      <c r="B38" s="28"/>
      <c r="C38" s="28"/>
      <c r="D38" s="20"/>
      <c r="E38" s="20"/>
      <c r="F38" s="20"/>
      <c r="G38" s="20"/>
      <c r="H38" s="20"/>
      <c r="I38" s="20"/>
      <c r="J38" s="20"/>
    </row>
    <row r="39" spans="1:10" ht="15.75" customHeight="1" x14ac:dyDescent="0.2">
      <c r="A39" s="14" t="s">
        <v>11</v>
      </c>
      <c r="B39" s="14"/>
      <c r="C39" s="14"/>
      <c r="D39" s="14"/>
      <c r="E39" s="14"/>
      <c r="F39" s="14"/>
      <c r="G39" s="14"/>
      <c r="I39" s="821" t="s">
        <v>12</v>
      </c>
      <c r="J39" s="821"/>
    </row>
    <row r="40" spans="1:10" ht="12.75" customHeight="1" x14ac:dyDescent="0.2">
      <c r="A40" s="803" t="s">
        <v>13</v>
      </c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2.75" customHeight="1" x14ac:dyDescent="0.2">
      <c r="A41" s="803" t="s">
        <v>19</v>
      </c>
      <c r="B41" s="803"/>
      <c r="C41" s="803"/>
      <c r="D41" s="803"/>
      <c r="E41" s="803"/>
      <c r="F41" s="803"/>
      <c r="G41" s="803"/>
      <c r="H41" s="803"/>
      <c r="I41" s="803"/>
      <c r="J41" s="803"/>
    </row>
    <row r="42" spans="1:10" x14ac:dyDescent="0.2">
      <c r="A42" s="14"/>
      <c r="B42" s="14"/>
      <c r="C42" s="14"/>
      <c r="E42" s="14"/>
      <c r="H42" s="820" t="s">
        <v>84</v>
      </c>
      <c r="I42" s="820"/>
      <c r="J42" s="820"/>
    </row>
    <row r="46" spans="1:10" x14ac:dyDescent="0.2">
      <c r="A46" s="939"/>
      <c r="B46" s="939"/>
      <c r="C46" s="939"/>
      <c r="D46" s="939"/>
      <c r="E46" s="939"/>
      <c r="F46" s="939"/>
      <c r="G46" s="939"/>
      <c r="H46" s="939"/>
      <c r="I46" s="939"/>
      <c r="J46" s="939"/>
    </row>
    <row r="48" spans="1:10" x14ac:dyDescent="0.2">
      <c r="A48" s="939"/>
      <c r="B48" s="939"/>
      <c r="C48" s="939"/>
      <c r="D48" s="939"/>
      <c r="E48" s="939"/>
      <c r="F48" s="939"/>
      <c r="G48" s="939"/>
      <c r="H48" s="939"/>
      <c r="I48" s="939"/>
      <c r="J48" s="939"/>
    </row>
  </sheetData>
  <mergeCells count="18">
    <mergeCell ref="A41:J41"/>
    <mergeCell ref="H42:J42"/>
    <mergeCell ref="A46:J46"/>
    <mergeCell ref="A48:J48"/>
    <mergeCell ref="A9:A10"/>
    <mergeCell ref="B9:B10"/>
    <mergeCell ref="C9:F9"/>
    <mergeCell ref="G9:J9"/>
    <mergeCell ref="I39:J39"/>
    <mergeCell ref="A40:J40"/>
    <mergeCell ref="A37:H37"/>
    <mergeCell ref="A36:B36"/>
    <mergeCell ref="E1:I1"/>
    <mergeCell ref="A2:J2"/>
    <mergeCell ref="A3:J3"/>
    <mergeCell ref="A5:J5"/>
    <mergeCell ref="A8:B8"/>
    <mergeCell ref="H8:J8"/>
  </mergeCells>
  <printOptions horizontalCentered="1"/>
  <pageMargins left="0.2" right="0.25" top="0.23622047244094491" bottom="0" header="0.23" footer="0.16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49"/>
  <sheetViews>
    <sheetView topLeftCell="A11" zoomScaleNormal="100" zoomScaleSheetLayoutView="100" workbookViewId="0">
      <selection activeCell="C29" sqref="C29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1" width="9.140625" style="15"/>
    <col min="12" max="12" width="0" style="15" hidden="1" customWidth="1"/>
    <col min="13" max="16384" width="9.140625" style="15"/>
  </cols>
  <sheetData>
    <row r="1" spans="1:16" customFormat="1" x14ac:dyDescent="0.2">
      <c r="E1" s="853"/>
      <c r="F1" s="853"/>
      <c r="G1" s="853"/>
      <c r="H1" s="853"/>
      <c r="I1" s="853"/>
      <c r="J1" s="718" t="s">
        <v>358</v>
      </c>
    </row>
    <row r="2" spans="1:16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6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6" customFormat="1" ht="14.25" customHeight="1" x14ac:dyDescent="0.2"/>
    <row r="5" spans="1:16" ht="31.5" customHeight="1" x14ac:dyDescent="0.25">
      <c r="A5" s="931" t="s">
        <v>803</v>
      </c>
      <c r="B5" s="931"/>
      <c r="C5" s="931"/>
      <c r="D5" s="931"/>
      <c r="E5" s="931"/>
      <c r="F5" s="931"/>
      <c r="G5" s="931"/>
      <c r="H5" s="931"/>
      <c r="I5" s="931"/>
      <c r="J5" s="931"/>
    </row>
    <row r="6" spans="1:16" ht="13.5" customHeight="1" x14ac:dyDescent="0.2">
      <c r="A6" s="716"/>
      <c r="B6" s="716"/>
      <c r="C6" s="716"/>
      <c r="D6" s="716"/>
      <c r="E6" s="716"/>
      <c r="F6" s="716"/>
      <c r="G6" s="716"/>
      <c r="H6" s="716"/>
      <c r="I6" s="716"/>
      <c r="J6" s="716"/>
    </row>
    <row r="7" spans="1:16" x14ac:dyDescent="0.2">
      <c r="A7" s="717"/>
      <c r="B7" s="717"/>
      <c r="C7" s="717"/>
      <c r="D7" s="717"/>
      <c r="E7" s="717"/>
      <c r="F7" s="717"/>
      <c r="G7" s="717"/>
      <c r="H7" s="717"/>
      <c r="I7" s="717"/>
      <c r="J7" s="717"/>
    </row>
    <row r="8" spans="1:16" x14ac:dyDescent="0.2">
      <c r="A8" s="820" t="s">
        <v>920</v>
      </c>
      <c r="B8" s="820"/>
      <c r="C8" s="711"/>
      <c r="D8" s="717"/>
      <c r="E8" s="717"/>
      <c r="F8" s="717"/>
      <c r="G8" s="717"/>
      <c r="H8" s="921" t="s">
        <v>830</v>
      </c>
      <c r="I8" s="921"/>
      <c r="J8" s="921"/>
    </row>
    <row r="9" spans="1:16" x14ac:dyDescent="0.2">
      <c r="A9" s="834" t="s">
        <v>2</v>
      </c>
      <c r="B9" s="834" t="s">
        <v>3</v>
      </c>
      <c r="C9" s="798" t="s">
        <v>799</v>
      </c>
      <c r="D9" s="799"/>
      <c r="E9" s="799"/>
      <c r="F9" s="800"/>
      <c r="G9" s="798" t="s">
        <v>105</v>
      </c>
      <c r="H9" s="799"/>
      <c r="I9" s="799"/>
      <c r="J9" s="800"/>
      <c r="O9" s="18"/>
      <c r="P9" s="20"/>
    </row>
    <row r="10" spans="1:16" ht="53.25" customHeight="1" x14ac:dyDescent="0.2">
      <c r="A10" s="834"/>
      <c r="B10" s="834"/>
      <c r="C10" s="714" t="s">
        <v>180</v>
      </c>
      <c r="D10" s="714" t="s">
        <v>16</v>
      </c>
      <c r="E10" s="220" t="s">
        <v>360</v>
      </c>
      <c r="F10" s="712" t="s">
        <v>196</v>
      </c>
      <c r="G10" s="714" t="s">
        <v>180</v>
      </c>
      <c r="H10" s="720" t="s">
        <v>17</v>
      </c>
      <c r="I10" s="719" t="s">
        <v>710</v>
      </c>
      <c r="J10" s="714" t="s">
        <v>711</v>
      </c>
    </row>
    <row r="11" spans="1:16" x14ac:dyDescent="0.2">
      <c r="A11" s="714">
        <v>1</v>
      </c>
      <c r="B11" s="714">
        <v>2</v>
      </c>
      <c r="C11" s="714">
        <v>3</v>
      </c>
      <c r="D11" s="714">
        <v>4</v>
      </c>
      <c r="E11" s="714">
        <v>5</v>
      </c>
      <c r="F11" s="712">
        <v>6</v>
      </c>
      <c r="G11" s="714">
        <v>7</v>
      </c>
      <c r="H11" s="713">
        <v>8</v>
      </c>
      <c r="I11" s="714">
        <v>9</v>
      </c>
      <c r="J11" s="714">
        <v>10</v>
      </c>
    </row>
    <row r="12" spans="1:16" x14ac:dyDescent="0.2">
      <c r="A12" s="715">
        <v>1</v>
      </c>
      <c r="B12" s="176" t="s">
        <v>896</v>
      </c>
      <c r="C12" s="18">
        <v>1304</v>
      </c>
      <c r="D12" s="18">
        <v>145867</v>
      </c>
      <c r="E12" s="18">
        <v>25</v>
      </c>
      <c r="F12" s="95">
        <f>D12*E12</f>
        <v>3646675</v>
      </c>
      <c r="G12" s="18">
        <f>[1]T5_PLAN_vs_PRFM!G12</f>
        <v>1304</v>
      </c>
      <c r="H12" s="26">
        <v>2917340</v>
      </c>
      <c r="I12" s="26">
        <v>25</v>
      </c>
      <c r="J12" s="326">
        <f>H12/I12</f>
        <v>116693.6</v>
      </c>
      <c r="L12" s="15">
        <f>80/100*F12</f>
        <v>2917340</v>
      </c>
    </row>
    <row r="13" spans="1:16" x14ac:dyDescent="0.2">
      <c r="A13" s="715">
        <v>2</v>
      </c>
      <c r="B13" s="176" t="s">
        <v>897</v>
      </c>
      <c r="C13" s="18">
        <v>549</v>
      </c>
      <c r="D13" s="18">
        <v>49122</v>
      </c>
      <c r="E13" s="18">
        <v>25</v>
      </c>
      <c r="F13" s="95">
        <f t="shared" ref="F13:F35" si="0">D13*E13</f>
        <v>1228050</v>
      </c>
      <c r="G13" s="18">
        <f>[1]T5_PLAN_vs_PRFM!G13</f>
        <v>549</v>
      </c>
      <c r="H13" s="26">
        <v>982440</v>
      </c>
      <c r="I13" s="26">
        <v>25</v>
      </c>
      <c r="J13" s="326">
        <f t="shared" ref="J13:J35" si="1">H13/I13</f>
        <v>39297.599999999999</v>
      </c>
      <c r="L13" s="15">
        <f t="shared" ref="L13:L35" si="2">80/100*F13</f>
        <v>982440</v>
      </c>
    </row>
    <row r="14" spans="1:16" x14ac:dyDescent="0.2">
      <c r="A14" s="715">
        <v>3</v>
      </c>
      <c r="B14" s="176" t="s">
        <v>898</v>
      </c>
      <c r="C14" s="18">
        <v>290</v>
      </c>
      <c r="D14" s="18">
        <v>38542</v>
      </c>
      <c r="E14" s="18">
        <v>25</v>
      </c>
      <c r="F14" s="95">
        <f t="shared" si="0"/>
        <v>963550</v>
      </c>
      <c r="G14" s="18">
        <f>[1]T5_PLAN_vs_PRFM!G14</f>
        <v>290</v>
      </c>
      <c r="H14" s="26">
        <v>770840</v>
      </c>
      <c r="I14" s="26">
        <v>25</v>
      </c>
      <c r="J14" s="326">
        <f t="shared" si="1"/>
        <v>30833.599999999999</v>
      </c>
      <c r="L14" s="15">
        <f t="shared" si="2"/>
        <v>770840</v>
      </c>
    </row>
    <row r="15" spans="1:16" x14ac:dyDescent="0.2">
      <c r="A15" s="715">
        <v>4</v>
      </c>
      <c r="B15" s="176" t="s">
        <v>899</v>
      </c>
      <c r="C15" s="18">
        <v>0</v>
      </c>
      <c r="D15" s="18">
        <v>0</v>
      </c>
      <c r="E15" s="18">
        <v>0</v>
      </c>
      <c r="F15" s="95">
        <f t="shared" si="0"/>
        <v>0</v>
      </c>
      <c r="G15" s="18">
        <v>0</v>
      </c>
      <c r="H15" s="26">
        <v>0</v>
      </c>
      <c r="I15" s="26">
        <v>25</v>
      </c>
      <c r="J15" s="326">
        <f t="shared" si="1"/>
        <v>0</v>
      </c>
      <c r="L15" s="15">
        <f t="shared" si="2"/>
        <v>0</v>
      </c>
    </row>
    <row r="16" spans="1:16" x14ac:dyDescent="0.2">
      <c r="A16" s="715">
        <v>5</v>
      </c>
      <c r="B16" s="176" t="s">
        <v>900</v>
      </c>
      <c r="C16" s="18">
        <v>0</v>
      </c>
      <c r="D16" s="18">
        <v>0</v>
      </c>
      <c r="E16" s="18">
        <v>0</v>
      </c>
      <c r="F16" s="95">
        <f t="shared" si="0"/>
        <v>0</v>
      </c>
      <c r="G16" s="18">
        <v>0</v>
      </c>
      <c r="H16" s="26">
        <v>0</v>
      </c>
      <c r="I16" s="26">
        <v>25</v>
      </c>
      <c r="J16" s="326">
        <f t="shared" si="1"/>
        <v>0</v>
      </c>
      <c r="L16" s="15">
        <f t="shared" si="2"/>
        <v>0</v>
      </c>
    </row>
    <row r="17" spans="1:12" x14ac:dyDescent="0.2">
      <c r="A17" s="715">
        <v>6</v>
      </c>
      <c r="B17" s="176" t="s">
        <v>901</v>
      </c>
      <c r="C17" s="18">
        <v>0</v>
      </c>
      <c r="D17" s="18">
        <v>0</v>
      </c>
      <c r="E17" s="18">
        <v>0</v>
      </c>
      <c r="F17" s="95">
        <f t="shared" si="0"/>
        <v>0</v>
      </c>
      <c r="G17" s="18">
        <v>0</v>
      </c>
      <c r="H17" s="26">
        <v>0</v>
      </c>
      <c r="I17" s="26">
        <v>25</v>
      </c>
      <c r="J17" s="326">
        <f t="shared" si="1"/>
        <v>0</v>
      </c>
      <c r="L17" s="15">
        <f t="shared" si="2"/>
        <v>0</v>
      </c>
    </row>
    <row r="18" spans="1:12" x14ac:dyDescent="0.2">
      <c r="A18" s="715">
        <v>7</v>
      </c>
      <c r="B18" s="176" t="s">
        <v>902</v>
      </c>
      <c r="C18" s="18">
        <v>0</v>
      </c>
      <c r="D18" s="18">
        <v>0</v>
      </c>
      <c r="E18" s="18">
        <v>0</v>
      </c>
      <c r="F18" s="95">
        <f t="shared" si="0"/>
        <v>0</v>
      </c>
      <c r="G18" s="18">
        <v>0</v>
      </c>
      <c r="H18" s="26">
        <v>0</v>
      </c>
      <c r="I18" s="26">
        <v>25</v>
      </c>
      <c r="J18" s="326">
        <f t="shared" si="1"/>
        <v>0</v>
      </c>
      <c r="L18" s="15">
        <f t="shared" si="2"/>
        <v>0</v>
      </c>
    </row>
    <row r="19" spans="1:12" x14ac:dyDescent="0.2">
      <c r="A19" s="715">
        <v>8</v>
      </c>
      <c r="B19" s="176" t="s">
        <v>903</v>
      </c>
      <c r="C19" s="18">
        <v>0</v>
      </c>
      <c r="D19" s="18">
        <v>0</v>
      </c>
      <c r="E19" s="18">
        <v>0</v>
      </c>
      <c r="F19" s="95">
        <f t="shared" si="0"/>
        <v>0</v>
      </c>
      <c r="G19" s="18">
        <v>0</v>
      </c>
      <c r="H19" s="26">
        <v>0</v>
      </c>
      <c r="I19" s="26">
        <v>25</v>
      </c>
      <c r="J19" s="326">
        <f t="shared" si="1"/>
        <v>0</v>
      </c>
      <c r="L19" s="15">
        <f t="shared" si="2"/>
        <v>0</v>
      </c>
    </row>
    <row r="20" spans="1:12" x14ac:dyDescent="0.2">
      <c r="A20" s="715">
        <v>9</v>
      </c>
      <c r="B20" s="176" t="s">
        <v>904</v>
      </c>
      <c r="C20" s="18">
        <v>1203</v>
      </c>
      <c r="D20" s="18">
        <v>187166</v>
      </c>
      <c r="E20" s="18">
        <v>25</v>
      </c>
      <c r="F20" s="95">
        <f t="shared" si="0"/>
        <v>4679150</v>
      </c>
      <c r="G20" s="18">
        <f>[1]T5_PLAN_vs_PRFM!G20</f>
        <v>1203</v>
      </c>
      <c r="H20" s="26">
        <v>3743320</v>
      </c>
      <c r="I20" s="26">
        <v>25</v>
      </c>
      <c r="J20" s="326">
        <f t="shared" si="1"/>
        <v>149732.79999999999</v>
      </c>
      <c r="L20" s="15">
        <f t="shared" si="2"/>
        <v>3743320</v>
      </c>
    </row>
    <row r="21" spans="1:12" x14ac:dyDescent="0.2">
      <c r="A21" s="715">
        <v>10</v>
      </c>
      <c r="B21" s="176" t="s">
        <v>905</v>
      </c>
      <c r="C21" s="18">
        <v>632</v>
      </c>
      <c r="D21" s="18">
        <v>67441</v>
      </c>
      <c r="E21" s="18">
        <v>25</v>
      </c>
      <c r="F21" s="95">
        <f t="shared" si="0"/>
        <v>1686025</v>
      </c>
      <c r="G21" s="18">
        <f>[1]T5_PLAN_vs_PRFM!G21</f>
        <v>632</v>
      </c>
      <c r="H21" s="26">
        <v>1348820</v>
      </c>
      <c r="I21" s="26">
        <v>25</v>
      </c>
      <c r="J21" s="326">
        <f t="shared" si="1"/>
        <v>53952.800000000003</v>
      </c>
      <c r="L21" s="15">
        <f t="shared" si="2"/>
        <v>1348820</v>
      </c>
    </row>
    <row r="22" spans="1:12" x14ac:dyDescent="0.2">
      <c r="A22" s="715">
        <v>11</v>
      </c>
      <c r="B22" s="176" t="s">
        <v>906</v>
      </c>
      <c r="C22" s="18">
        <v>955</v>
      </c>
      <c r="D22" s="18">
        <v>107941</v>
      </c>
      <c r="E22" s="18">
        <v>25</v>
      </c>
      <c r="F22" s="95">
        <f t="shared" si="0"/>
        <v>2698525</v>
      </c>
      <c r="G22" s="18">
        <f>[1]T5_PLAN_vs_PRFM!G22</f>
        <v>955</v>
      </c>
      <c r="H22" s="26">
        <v>2158820</v>
      </c>
      <c r="I22" s="26">
        <v>25</v>
      </c>
      <c r="J22" s="326">
        <f t="shared" si="1"/>
        <v>86352.8</v>
      </c>
      <c r="L22" s="15">
        <f t="shared" si="2"/>
        <v>2158820</v>
      </c>
    </row>
    <row r="23" spans="1:12" x14ac:dyDescent="0.2">
      <c r="A23" s="715">
        <v>12</v>
      </c>
      <c r="B23" s="269" t="s">
        <v>907</v>
      </c>
      <c r="C23" s="18">
        <v>0</v>
      </c>
      <c r="D23" s="18">
        <v>0</v>
      </c>
      <c r="E23" s="18">
        <v>0</v>
      </c>
      <c r="F23" s="95">
        <f t="shared" si="0"/>
        <v>0</v>
      </c>
      <c r="G23" s="18">
        <v>0</v>
      </c>
      <c r="H23" s="26">
        <v>0</v>
      </c>
      <c r="I23" s="26">
        <v>25</v>
      </c>
      <c r="J23" s="326">
        <f t="shared" si="1"/>
        <v>0</v>
      </c>
      <c r="L23" s="15">
        <f t="shared" si="2"/>
        <v>0</v>
      </c>
    </row>
    <row r="24" spans="1:12" x14ac:dyDescent="0.2">
      <c r="A24" s="715">
        <v>13</v>
      </c>
      <c r="B24" s="176" t="s">
        <v>908</v>
      </c>
      <c r="C24" s="18">
        <v>347</v>
      </c>
      <c r="D24" s="18">
        <v>46469</v>
      </c>
      <c r="E24" s="18">
        <v>25</v>
      </c>
      <c r="F24" s="95">
        <f t="shared" si="0"/>
        <v>1161725</v>
      </c>
      <c r="G24" s="18">
        <f>[1]T5_PLAN_vs_PRFM!G24</f>
        <v>347</v>
      </c>
      <c r="H24" s="26">
        <v>929380</v>
      </c>
      <c r="I24" s="26">
        <v>25</v>
      </c>
      <c r="J24" s="326">
        <f t="shared" si="1"/>
        <v>37175.199999999997</v>
      </c>
      <c r="L24" s="15">
        <f t="shared" si="2"/>
        <v>929380</v>
      </c>
    </row>
    <row r="25" spans="1:12" x14ac:dyDescent="0.2">
      <c r="A25" s="715">
        <v>14</v>
      </c>
      <c r="B25" s="176" t="s">
        <v>909</v>
      </c>
      <c r="C25" s="18">
        <v>363</v>
      </c>
      <c r="D25" s="18">
        <v>50280</v>
      </c>
      <c r="E25" s="18">
        <v>25</v>
      </c>
      <c r="F25" s="95">
        <f t="shared" si="0"/>
        <v>1257000</v>
      </c>
      <c r="G25" s="18">
        <f>[1]T5_PLAN_vs_PRFM!G25</f>
        <v>363</v>
      </c>
      <c r="H25" s="26">
        <v>1005600</v>
      </c>
      <c r="I25" s="26">
        <v>25</v>
      </c>
      <c r="J25" s="326">
        <f t="shared" si="1"/>
        <v>40224</v>
      </c>
      <c r="L25" s="15">
        <f t="shared" si="2"/>
        <v>1005600</v>
      </c>
    </row>
    <row r="26" spans="1:12" x14ac:dyDescent="0.2">
      <c r="A26" s="715">
        <v>15</v>
      </c>
      <c r="B26" s="176" t="s">
        <v>910</v>
      </c>
      <c r="C26" s="18">
        <v>895</v>
      </c>
      <c r="D26" s="18">
        <v>108268</v>
      </c>
      <c r="E26" s="18">
        <v>25</v>
      </c>
      <c r="F26" s="95">
        <f t="shared" si="0"/>
        <v>2706700</v>
      </c>
      <c r="G26" s="18">
        <f>[1]T5_PLAN_vs_PRFM!G26</f>
        <v>895</v>
      </c>
      <c r="H26" s="26">
        <v>2165360</v>
      </c>
      <c r="I26" s="26">
        <v>25</v>
      </c>
      <c r="J26" s="326">
        <f t="shared" si="1"/>
        <v>86614.399999999994</v>
      </c>
      <c r="L26" s="15">
        <f t="shared" si="2"/>
        <v>2165360</v>
      </c>
    </row>
    <row r="27" spans="1:12" x14ac:dyDescent="0.2">
      <c r="A27" s="715">
        <v>16</v>
      </c>
      <c r="B27" s="176" t="s">
        <v>911</v>
      </c>
      <c r="C27" s="18">
        <v>1888</v>
      </c>
      <c r="D27" s="18">
        <v>165359</v>
      </c>
      <c r="E27" s="18">
        <v>25</v>
      </c>
      <c r="F27" s="95">
        <f t="shared" si="0"/>
        <v>4133975</v>
      </c>
      <c r="G27" s="18">
        <f>[1]T5_PLAN_vs_PRFM!G27</f>
        <v>1888</v>
      </c>
      <c r="H27" s="26">
        <v>3307180</v>
      </c>
      <c r="I27" s="26">
        <v>25</v>
      </c>
      <c r="J27" s="326">
        <f t="shared" si="1"/>
        <v>132287.20000000001</v>
      </c>
      <c r="L27" s="15">
        <f t="shared" si="2"/>
        <v>3307180</v>
      </c>
    </row>
    <row r="28" spans="1:12" x14ac:dyDescent="0.2">
      <c r="A28" s="715">
        <v>17</v>
      </c>
      <c r="B28" s="176" t="s">
        <v>912</v>
      </c>
      <c r="C28" s="18">
        <v>1091</v>
      </c>
      <c r="D28" s="18">
        <v>108106</v>
      </c>
      <c r="E28" s="18">
        <v>25</v>
      </c>
      <c r="F28" s="95">
        <f t="shared" si="0"/>
        <v>2702650</v>
      </c>
      <c r="G28" s="18">
        <f>[1]T5_PLAN_vs_PRFM!G28</f>
        <v>1091</v>
      </c>
      <c r="H28" s="26">
        <v>2162120</v>
      </c>
      <c r="I28" s="26">
        <v>25</v>
      </c>
      <c r="J28" s="326">
        <f t="shared" si="1"/>
        <v>86484.800000000003</v>
      </c>
      <c r="L28" s="15">
        <f t="shared" si="2"/>
        <v>2162120</v>
      </c>
    </row>
    <row r="29" spans="1:12" x14ac:dyDescent="0.2">
      <c r="A29" s="715">
        <v>18</v>
      </c>
      <c r="B29" s="176" t="s">
        <v>913</v>
      </c>
      <c r="C29" s="18">
        <v>990</v>
      </c>
      <c r="D29" s="18">
        <v>93835</v>
      </c>
      <c r="E29" s="18">
        <v>25</v>
      </c>
      <c r="F29" s="95">
        <f t="shared" si="0"/>
        <v>2345875</v>
      </c>
      <c r="G29" s="18">
        <f>[1]T5_PLAN_vs_PRFM!G29</f>
        <v>990</v>
      </c>
      <c r="H29" s="26">
        <v>1876700</v>
      </c>
      <c r="I29" s="26">
        <v>25</v>
      </c>
      <c r="J29" s="326">
        <f t="shared" si="1"/>
        <v>75068</v>
      </c>
      <c r="L29" s="15">
        <f t="shared" si="2"/>
        <v>1876700</v>
      </c>
    </row>
    <row r="30" spans="1:12" x14ac:dyDescent="0.2">
      <c r="A30" s="715">
        <v>19</v>
      </c>
      <c r="B30" s="176" t="s">
        <v>914</v>
      </c>
      <c r="C30" s="18">
        <v>1478</v>
      </c>
      <c r="D30" s="18">
        <v>86631</v>
      </c>
      <c r="E30" s="18">
        <v>25</v>
      </c>
      <c r="F30" s="95">
        <f t="shared" si="0"/>
        <v>2165775</v>
      </c>
      <c r="G30" s="18">
        <f>[1]T5_PLAN_vs_PRFM!G30</f>
        <v>1478</v>
      </c>
      <c r="H30" s="26">
        <v>1732620</v>
      </c>
      <c r="I30" s="26">
        <v>25</v>
      </c>
      <c r="J30" s="326">
        <f t="shared" si="1"/>
        <v>69304.800000000003</v>
      </c>
      <c r="L30" s="15">
        <f t="shared" si="2"/>
        <v>1732620</v>
      </c>
    </row>
    <row r="31" spans="1:12" x14ac:dyDescent="0.2">
      <c r="A31" s="715">
        <v>20</v>
      </c>
      <c r="B31" s="176" t="s">
        <v>915</v>
      </c>
      <c r="C31" s="18">
        <v>600</v>
      </c>
      <c r="D31" s="18">
        <v>62264</v>
      </c>
      <c r="E31" s="18">
        <v>25</v>
      </c>
      <c r="F31" s="95">
        <f t="shared" si="0"/>
        <v>1556600</v>
      </c>
      <c r="G31" s="18">
        <f>[1]T5_PLAN_vs_PRFM!G31</f>
        <v>600</v>
      </c>
      <c r="H31" s="26">
        <v>1245280</v>
      </c>
      <c r="I31" s="26">
        <v>25</v>
      </c>
      <c r="J31" s="326">
        <f t="shared" si="1"/>
        <v>49811.199999999997</v>
      </c>
      <c r="L31" s="15">
        <f t="shared" si="2"/>
        <v>1245280</v>
      </c>
    </row>
    <row r="32" spans="1:12" x14ac:dyDescent="0.2">
      <c r="A32" s="715">
        <v>21</v>
      </c>
      <c r="B32" s="176" t="s">
        <v>916</v>
      </c>
      <c r="C32" s="18">
        <v>758</v>
      </c>
      <c r="D32" s="18">
        <v>85470</v>
      </c>
      <c r="E32" s="18">
        <v>25</v>
      </c>
      <c r="F32" s="95">
        <f t="shared" si="0"/>
        <v>2136750</v>
      </c>
      <c r="G32" s="18">
        <f>[1]T5_PLAN_vs_PRFM!G32</f>
        <v>758</v>
      </c>
      <c r="H32" s="26">
        <v>1709400</v>
      </c>
      <c r="I32" s="26">
        <v>25</v>
      </c>
      <c r="J32" s="326">
        <f t="shared" si="1"/>
        <v>68376</v>
      </c>
      <c r="L32" s="15">
        <f t="shared" si="2"/>
        <v>1709400</v>
      </c>
    </row>
    <row r="33" spans="1:12" x14ac:dyDescent="0.2">
      <c r="A33" s="715">
        <v>22</v>
      </c>
      <c r="B33" s="176" t="s">
        <v>917</v>
      </c>
      <c r="C33" s="18">
        <v>609</v>
      </c>
      <c r="D33" s="18">
        <v>64609</v>
      </c>
      <c r="E33" s="18">
        <v>25</v>
      </c>
      <c r="F33" s="95">
        <f t="shared" si="0"/>
        <v>1615225</v>
      </c>
      <c r="G33" s="18">
        <f>[1]T5_PLAN_vs_PRFM!G33</f>
        <v>609</v>
      </c>
      <c r="H33" s="26">
        <v>1292180</v>
      </c>
      <c r="I33" s="26">
        <v>25</v>
      </c>
      <c r="J33" s="326">
        <f t="shared" si="1"/>
        <v>51687.199999999997</v>
      </c>
      <c r="L33" s="15">
        <f t="shared" si="2"/>
        <v>1292180</v>
      </c>
    </row>
    <row r="34" spans="1:12" x14ac:dyDescent="0.2">
      <c r="A34" s="715">
        <v>23</v>
      </c>
      <c r="B34" s="176" t="s">
        <v>918</v>
      </c>
      <c r="C34" s="18">
        <v>922</v>
      </c>
      <c r="D34" s="18">
        <v>109390</v>
      </c>
      <c r="E34" s="18">
        <v>25</v>
      </c>
      <c r="F34" s="95">
        <f t="shared" si="0"/>
        <v>2734750</v>
      </c>
      <c r="G34" s="18">
        <f>[1]T5_PLAN_vs_PRFM!G34</f>
        <v>922</v>
      </c>
      <c r="H34" s="26">
        <v>2187800</v>
      </c>
      <c r="I34" s="26">
        <v>25</v>
      </c>
      <c r="J34" s="326">
        <f t="shared" si="1"/>
        <v>87512</v>
      </c>
      <c r="L34" s="15">
        <f t="shared" si="2"/>
        <v>2187800</v>
      </c>
    </row>
    <row r="35" spans="1:12" x14ac:dyDescent="0.2">
      <c r="A35" s="715">
        <v>24</v>
      </c>
      <c r="B35" s="18" t="s">
        <v>919</v>
      </c>
      <c r="C35" s="18">
        <v>1296</v>
      </c>
      <c r="D35" s="18">
        <v>124588</v>
      </c>
      <c r="E35" s="18">
        <v>25</v>
      </c>
      <c r="F35" s="95">
        <f t="shared" si="0"/>
        <v>3114700</v>
      </c>
      <c r="G35" s="18">
        <f>[1]T5_PLAN_vs_PRFM!G35</f>
        <v>1296</v>
      </c>
      <c r="H35" s="26">
        <v>2491760</v>
      </c>
      <c r="I35" s="26">
        <v>25</v>
      </c>
      <c r="J35" s="326">
        <f t="shared" si="1"/>
        <v>99670.399999999994</v>
      </c>
      <c r="L35" s="15">
        <f t="shared" si="2"/>
        <v>2491760</v>
      </c>
    </row>
    <row r="36" spans="1:12" x14ac:dyDescent="0.2">
      <c r="A36" s="798" t="s">
        <v>18</v>
      </c>
      <c r="B36" s="800"/>
      <c r="C36" s="27">
        <f>SUM(C12:C35)</f>
        <v>16170</v>
      </c>
      <c r="D36" s="27">
        <f t="shared" ref="D36:J36" si="3">SUM(D12:D35)</f>
        <v>1701348</v>
      </c>
      <c r="E36" s="27"/>
      <c r="F36" s="27">
        <f t="shared" si="3"/>
        <v>42533700</v>
      </c>
      <c r="G36" s="27">
        <f t="shared" si="3"/>
        <v>16170</v>
      </c>
      <c r="H36" s="27">
        <f t="shared" si="3"/>
        <v>34026960</v>
      </c>
      <c r="I36" s="27"/>
      <c r="J36" s="310">
        <f t="shared" si="3"/>
        <v>1361078.4</v>
      </c>
    </row>
    <row r="37" spans="1:12" x14ac:dyDescent="0.2">
      <c r="A37" s="11"/>
      <c r="B37" s="28"/>
      <c r="C37" s="28"/>
      <c r="D37" s="20"/>
      <c r="E37" s="20"/>
      <c r="F37" s="20"/>
      <c r="G37" s="20"/>
      <c r="H37" s="20"/>
      <c r="I37" s="20"/>
      <c r="J37" s="20"/>
    </row>
    <row r="38" spans="1:12" x14ac:dyDescent="0.2">
      <c r="A38" s="938" t="s">
        <v>712</v>
      </c>
      <c r="B38" s="938"/>
      <c r="C38" s="938"/>
      <c r="D38" s="938"/>
      <c r="E38" s="938"/>
      <c r="F38" s="938"/>
      <c r="G38" s="938"/>
      <c r="H38" s="938"/>
      <c r="I38" s="20"/>
      <c r="J38" s="20"/>
    </row>
    <row r="39" spans="1:12" x14ac:dyDescent="0.2">
      <c r="A39" s="11"/>
      <c r="B39" s="28"/>
      <c r="C39" s="28"/>
      <c r="D39" s="20"/>
      <c r="E39" s="20"/>
      <c r="F39" s="20"/>
      <c r="G39" s="20"/>
      <c r="H39" s="20"/>
      <c r="I39" s="20"/>
      <c r="J39" s="20"/>
    </row>
    <row r="40" spans="1:12" ht="15.75" customHeight="1" x14ac:dyDescent="0.2">
      <c r="A40" s="14" t="s">
        <v>11</v>
      </c>
      <c r="B40" s="14"/>
      <c r="C40" s="14"/>
      <c r="D40" s="14"/>
      <c r="E40" s="14"/>
      <c r="F40" s="14"/>
      <c r="G40" s="14"/>
      <c r="H40" s="717"/>
      <c r="I40" s="821" t="s">
        <v>12</v>
      </c>
      <c r="J40" s="821"/>
    </row>
    <row r="41" spans="1:12" ht="12.75" customHeight="1" x14ac:dyDescent="0.2">
      <c r="A41" s="803" t="s">
        <v>13</v>
      </c>
      <c r="B41" s="803"/>
      <c r="C41" s="803"/>
      <c r="D41" s="803"/>
      <c r="E41" s="803"/>
      <c r="F41" s="803"/>
      <c r="G41" s="803"/>
      <c r="H41" s="803"/>
      <c r="I41" s="803"/>
      <c r="J41" s="803"/>
    </row>
    <row r="42" spans="1:12" ht="12.75" customHeight="1" x14ac:dyDescent="0.2">
      <c r="A42" s="803" t="s">
        <v>19</v>
      </c>
      <c r="B42" s="803"/>
      <c r="C42" s="803"/>
      <c r="D42" s="803"/>
      <c r="E42" s="803"/>
      <c r="F42" s="803"/>
      <c r="G42" s="803"/>
      <c r="H42" s="803"/>
      <c r="I42" s="803"/>
      <c r="J42" s="803"/>
    </row>
    <row r="43" spans="1:12" x14ac:dyDescent="0.2">
      <c r="A43" s="14"/>
      <c r="B43" s="14"/>
      <c r="C43" s="14"/>
      <c r="D43" s="717"/>
      <c r="E43" s="14"/>
      <c r="F43" s="717"/>
      <c r="G43" s="717"/>
      <c r="H43" s="820" t="s">
        <v>84</v>
      </c>
      <c r="I43" s="820"/>
      <c r="J43" s="820"/>
    </row>
    <row r="47" spans="1:12" x14ac:dyDescent="0.2">
      <c r="A47" s="939"/>
      <c r="B47" s="939"/>
      <c r="C47" s="939"/>
      <c r="D47" s="939"/>
      <c r="E47" s="939"/>
      <c r="F47" s="939"/>
      <c r="G47" s="939"/>
      <c r="H47" s="939"/>
      <c r="I47" s="939"/>
      <c r="J47" s="939"/>
    </row>
    <row r="49" spans="1:10" x14ac:dyDescent="0.2">
      <c r="A49" s="939"/>
      <c r="B49" s="939"/>
      <c r="C49" s="939"/>
      <c r="D49" s="939"/>
      <c r="E49" s="939"/>
      <c r="F49" s="939"/>
      <c r="G49" s="939"/>
      <c r="H49" s="939"/>
      <c r="I49" s="939"/>
      <c r="J49" s="939"/>
    </row>
  </sheetData>
  <mergeCells count="18">
    <mergeCell ref="E1:I1"/>
    <mergeCell ref="A2:J2"/>
    <mergeCell ref="A3:J3"/>
    <mergeCell ref="A5:J5"/>
    <mergeCell ref="A8:B8"/>
    <mergeCell ref="H8:J8"/>
    <mergeCell ref="A42:J42"/>
    <mergeCell ref="H43:J43"/>
    <mergeCell ref="A47:J47"/>
    <mergeCell ref="A49:J49"/>
    <mergeCell ref="A9:A10"/>
    <mergeCell ref="B9:B10"/>
    <mergeCell ref="C9:F9"/>
    <mergeCell ref="G9:J9"/>
    <mergeCell ref="I40:J40"/>
    <mergeCell ref="A36:B36"/>
    <mergeCell ref="A41:J41"/>
    <mergeCell ref="A38:H38"/>
  </mergeCells>
  <printOptions horizontalCentered="1"/>
  <pageMargins left="0.39" right="0.37" top="0.23622047244094491" bottom="0" header="0.31496062992125984" footer="0.16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49"/>
  <sheetViews>
    <sheetView topLeftCell="A16" zoomScaleNormal="100" zoomScaleSheetLayoutView="100" workbookViewId="0">
      <selection activeCell="C29" sqref="C29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1" width="9.140625" style="15"/>
    <col min="12" max="12" width="0" style="15" hidden="1" customWidth="1"/>
    <col min="13" max="16384" width="9.140625" style="15"/>
  </cols>
  <sheetData>
    <row r="1" spans="1:16" customFormat="1" x14ac:dyDescent="0.2">
      <c r="E1" s="853"/>
      <c r="F1" s="853"/>
      <c r="G1" s="853"/>
      <c r="H1" s="853"/>
      <c r="I1" s="853"/>
      <c r="J1" s="718" t="s">
        <v>428</v>
      </c>
    </row>
    <row r="2" spans="1:16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6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6" customFormat="1" ht="14.25" customHeight="1" x14ac:dyDescent="0.2"/>
    <row r="5" spans="1:16" ht="31.5" customHeight="1" x14ac:dyDescent="0.25">
      <c r="A5" s="931" t="s">
        <v>804</v>
      </c>
      <c r="B5" s="931"/>
      <c r="C5" s="931"/>
      <c r="D5" s="931"/>
      <c r="E5" s="931"/>
      <c r="F5" s="931"/>
      <c r="G5" s="931"/>
      <c r="H5" s="931"/>
      <c r="I5" s="931"/>
      <c r="J5" s="931"/>
    </row>
    <row r="6" spans="1:16" ht="13.5" customHeight="1" x14ac:dyDescent="0.2">
      <c r="A6" s="820" t="s">
        <v>920</v>
      </c>
      <c r="B6" s="820"/>
      <c r="C6" s="716"/>
      <c r="D6" s="716"/>
      <c r="E6" s="716"/>
      <c r="F6" s="716"/>
      <c r="G6" s="716"/>
      <c r="H6" s="716"/>
      <c r="I6" s="716"/>
      <c r="J6" s="716"/>
    </row>
    <row r="7" spans="1:16" ht="0.75" customHeight="1" x14ac:dyDescent="0.2">
      <c r="A7" s="717"/>
      <c r="B7" s="717"/>
      <c r="C7" s="717"/>
      <c r="D7" s="717"/>
      <c r="E7" s="717"/>
      <c r="F7" s="717"/>
      <c r="G7" s="717"/>
      <c r="H7" s="717"/>
      <c r="I7" s="717"/>
      <c r="J7" s="717"/>
    </row>
    <row r="8" spans="1:16" x14ac:dyDescent="0.2">
      <c r="A8" s="717"/>
      <c r="B8" s="717"/>
      <c r="C8" s="711"/>
      <c r="D8" s="717"/>
      <c r="E8" s="717"/>
      <c r="F8" s="717"/>
      <c r="G8" s="717"/>
      <c r="H8" s="921" t="s">
        <v>830</v>
      </c>
      <c r="I8" s="921"/>
      <c r="J8" s="921"/>
    </row>
    <row r="9" spans="1:16" x14ac:dyDescent="0.2">
      <c r="A9" s="834" t="s">
        <v>2</v>
      </c>
      <c r="B9" s="834" t="s">
        <v>3</v>
      </c>
      <c r="C9" s="798" t="s">
        <v>799</v>
      </c>
      <c r="D9" s="799"/>
      <c r="E9" s="799"/>
      <c r="F9" s="800"/>
      <c r="G9" s="798" t="s">
        <v>105</v>
      </c>
      <c r="H9" s="799"/>
      <c r="I9" s="799"/>
      <c r="J9" s="800"/>
      <c r="O9" s="18"/>
      <c r="P9" s="20"/>
    </row>
    <row r="10" spans="1:16" ht="53.25" customHeight="1" x14ac:dyDescent="0.2">
      <c r="A10" s="834"/>
      <c r="B10" s="834"/>
      <c r="C10" s="714" t="s">
        <v>180</v>
      </c>
      <c r="D10" s="714" t="s">
        <v>16</v>
      </c>
      <c r="E10" s="220" t="s">
        <v>361</v>
      </c>
      <c r="F10" s="712" t="s">
        <v>196</v>
      </c>
      <c r="G10" s="714" t="s">
        <v>180</v>
      </c>
      <c r="H10" s="720" t="s">
        <v>17</v>
      </c>
      <c r="I10" s="719" t="s">
        <v>710</v>
      </c>
      <c r="J10" s="714" t="s">
        <v>711</v>
      </c>
    </row>
    <row r="11" spans="1:16" x14ac:dyDescent="0.2">
      <c r="A11" s="714">
        <v>1</v>
      </c>
      <c r="B11" s="714">
        <v>2</v>
      </c>
      <c r="C11" s="714">
        <v>3</v>
      </c>
      <c r="D11" s="714">
        <v>4</v>
      </c>
      <c r="E11" s="714">
        <v>5</v>
      </c>
      <c r="F11" s="712">
        <v>6</v>
      </c>
      <c r="G11" s="714">
        <v>7</v>
      </c>
      <c r="H11" s="713">
        <v>8</v>
      </c>
      <c r="I11" s="714">
        <v>9</v>
      </c>
      <c r="J11" s="714">
        <v>10</v>
      </c>
    </row>
    <row r="12" spans="1:16" x14ac:dyDescent="0.2">
      <c r="A12" s="715">
        <v>1</v>
      </c>
      <c r="B12" s="176" t="s">
        <v>896</v>
      </c>
      <c r="C12" s="18">
        <f>'[1]T5A_PLAN_vs_PRFM '!C12</f>
        <v>845</v>
      </c>
      <c r="D12" s="18">
        <v>63080</v>
      </c>
      <c r="E12" s="18">
        <v>25</v>
      </c>
      <c r="F12" s="95">
        <f>D12*E12</f>
        <v>1577000</v>
      </c>
      <c r="G12" s="18">
        <f>'[1]T5A_PLAN_vs_PRFM '!G12</f>
        <v>845</v>
      </c>
      <c r="H12" s="26">
        <v>1261600</v>
      </c>
      <c r="I12" s="26">
        <v>25</v>
      </c>
      <c r="J12" s="326">
        <f>H12/I12</f>
        <v>50464</v>
      </c>
      <c r="L12" s="15">
        <f>80/100*F12</f>
        <v>1261600</v>
      </c>
    </row>
    <row r="13" spans="1:16" x14ac:dyDescent="0.2">
      <c r="A13" s="715">
        <v>2</v>
      </c>
      <c r="B13" s="176" t="s">
        <v>897</v>
      </c>
      <c r="C13" s="18">
        <f>'[1]T5A_PLAN_vs_PRFM '!C13</f>
        <v>319</v>
      </c>
      <c r="D13" s="18">
        <v>17555</v>
      </c>
      <c r="E13" s="18">
        <v>25</v>
      </c>
      <c r="F13" s="95">
        <f t="shared" ref="F13:F35" si="0">D13*E13</f>
        <v>438875</v>
      </c>
      <c r="G13" s="18">
        <f>'[1]T5A_PLAN_vs_PRFM '!G13</f>
        <v>319</v>
      </c>
      <c r="H13" s="26">
        <v>351100</v>
      </c>
      <c r="I13" s="26">
        <v>25</v>
      </c>
      <c r="J13" s="326">
        <f t="shared" ref="J13:J35" si="1">H13/I13</f>
        <v>14044</v>
      </c>
      <c r="L13" s="15">
        <f t="shared" ref="L13:L35" si="2">80/100*F13</f>
        <v>351100</v>
      </c>
    </row>
    <row r="14" spans="1:16" x14ac:dyDescent="0.2">
      <c r="A14" s="715">
        <v>3</v>
      </c>
      <c r="B14" s="176" t="s">
        <v>898</v>
      </c>
      <c r="C14" s="18">
        <f>'[1]T5A_PLAN_vs_PRFM '!C14</f>
        <v>201</v>
      </c>
      <c r="D14" s="18">
        <v>16093</v>
      </c>
      <c r="E14" s="18">
        <v>25</v>
      </c>
      <c r="F14" s="95">
        <f t="shared" si="0"/>
        <v>402325</v>
      </c>
      <c r="G14" s="18">
        <f>'[1]T5A_PLAN_vs_PRFM '!G14</f>
        <v>201</v>
      </c>
      <c r="H14" s="26">
        <v>321860</v>
      </c>
      <c r="I14" s="26">
        <v>25</v>
      </c>
      <c r="J14" s="326">
        <f t="shared" si="1"/>
        <v>12874.4</v>
      </c>
      <c r="L14" s="15">
        <f t="shared" si="2"/>
        <v>321860</v>
      </c>
    </row>
    <row r="15" spans="1:16" x14ac:dyDescent="0.2">
      <c r="A15" s="715">
        <v>4</v>
      </c>
      <c r="B15" s="176" t="s">
        <v>899</v>
      </c>
      <c r="C15" s="18">
        <v>0</v>
      </c>
      <c r="D15" s="18">
        <v>0</v>
      </c>
      <c r="E15" s="18">
        <v>0</v>
      </c>
      <c r="F15" s="95">
        <f t="shared" si="0"/>
        <v>0</v>
      </c>
      <c r="G15" s="18">
        <v>0</v>
      </c>
      <c r="H15" s="26">
        <v>0</v>
      </c>
      <c r="I15" s="26">
        <v>25</v>
      </c>
      <c r="J15" s="326">
        <f t="shared" si="1"/>
        <v>0</v>
      </c>
      <c r="L15" s="15">
        <f t="shared" si="2"/>
        <v>0</v>
      </c>
    </row>
    <row r="16" spans="1:16" x14ac:dyDescent="0.2">
      <c r="A16" s="715">
        <v>5</v>
      </c>
      <c r="B16" s="176" t="s">
        <v>900</v>
      </c>
      <c r="C16" s="18">
        <v>0</v>
      </c>
      <c r="D16" s="18">
        <v>0</v>
      </c>
      <c r="E16" s="18">
        <v>0</v>
      </c>
      <c r="F16" s="95">
        <f t="shared" si="0"/>
        <v>0</v>
      </c>
      <c r="G16" s="18">
        <v>0</v>
      </c>
      <c r="H16" s="26">
        <v>0</v>
      </c>
      <c r="I16" s="26">
        <v>25</v>
      </c>
      <c r="J16" s="326">
        <f t="shared" si="1"/>
        <v>0</v>
      </c>
      <c r="L16" s="15">
        <f t="shared" si="2"/>
        <v>0</v>
      </c>
    </row>
    <row r="17" spans="1:12" x14ac:dyDescent="0.2">
      <c r="A17" s="715">
        <v>6</v>
      </c>
      <c r="B17" s="176" t="s">
        <v>901</v>
      </c>
      <c r="C17" s="18">
        <v>0</v>
      </c>
      <c r="D17" s="18">
        <v>0</v>
      </c>
      <c r="E17" s="18">
        <v>0</v>
      </c>
      <c r="F17" s="95">
        <f t="shared" si="0"/>
        <v>0</v>
      </c>
      <c r="G17" s="18">
        <v>0</v>
      </c>
      <c r="H17" s="26">
        <v>0</v>
      </c>
      <c r="I17" s="26">
        <v>25</v>
      </c>
      <c r="J17" s="326">
        <f t="shared" si="1"/>
        <v>0</v>
      </c>
      <c r="L17" s="15">
        <f t="shared" si="2"/>
        <v>0</v>
      </c>
    </row>
    <row r="18" spans="1:12" x14ac:dyDescent="0.2">
      <c r="A18" s="715">
        <v>7</v>
      </c>
      <c r="B18" s="176" t="s">
        <v>902</v>
      </c>
      <c r="C18" s="18">
        <v>0</v>
      </c>
      <c r="D18" s="18">
        <v>0</v>
      </c>
      <c r="E18" s="18">
        <v>0</v>
      </c>
      <c r="F18" s="95">
        <f t="shared" si="0"/>
        <v>0</v>
      </c>
      <c r="G18" s="18">
        <v>0</v>
      </c>
      <c r="H18" s="26">
        <v>0</v>
      </c>
      <c r="I18" s="26">
        <v>25</v>
      </c>
      <c r="J18" s="326">
        <f t="shared" si="1"/>
        <v>0</v>
      </c>
      <c r="L18" s="15">
        <f t="shared" si="2"/>
        <v>0</v>
      </c>
    </row>
    <row r="19" spans="1:12" x14ac:dyDescent="0.2">
      <c r="A19" s="715">
        <v>8</v>
      </c>
      <c r="B19" s="176" t="s">
        <v>903</v>
      </c>
      <c r="C19" s="18">
        <v>0</v>
      </c>
      <c r="D19" s="18">
        <v>0</v>
      </c>
      <c r="E19" s="18">
        <v>0</v>
      </c>
      <c r="F19" s="95">
        <f t="shared" si="0"/>
        <v>0</v>
      </c>
      <c r="G19" s="18">
        <v>0</v>
      </c>
      <c r="H19" s="26">
        <v>0</v>
      </c>
      <c r="I19" s="26">
        <v>25</v>
      </c>
      <c r="J19" s="326">
        <f t="shared" si="1"/>
        <v>0</v>
      </c>
      <c r="L19" s="15">
        <f t="shared" si="2"/>
        <v>0</v>
      </c>
    </row>
    <row r="20" spans="1:12" x14ac:dyDescent="0.2">
      <c r="A20" s="715">
        <v>9</v>
      </c>
      <c r="B20" s="176" t="s">
        <v>904</v>
      </c>
      <c r="C20" s="18">
        <f>'[1]T5A_PLAN_vs_PRFM '!C20</f>
        <v>1296</v>
      </c>
      <c r="D20" s="18">
        <v>85229</v>
      </c>
      <c r="E20" s="18">
        <v>25</v>
      </c>
      <c r="F20" s="95">
        <f t="shared" si="0"/>
        <v>2130725</v>
      </c>
      <c r="G20" s="18">
        <f>'[1]T5A_PLAN_vs_PRFM '!G20</f>
        <v>1296</v>
      </c>
      <c r="H20" s="26">
        <v>1704580</v>
      </c>
      <c r="I20" s="26">
        <v>25</v>
      </c>
      <c r="J20" s="326">
        <f t="shared" si="1"/>
        <v>68183.199999999997</v>
      </c>
      <c r="L20" s="15">
        <f t="shared" si="2"/>
        <v>1704580</v>
      </c>
    </row>
    <row r="21" spans="1:12" x14ac:dyDescent="0.2">
      <c r="A21" s="715">
        <v>10</v>
      </c>
      <c r="B21" s="176" t="s">
        <v>905</v>
      </c>
      <c r="C21" s="18">
        <f>'[1]T5A_PLAN_vs_PRFM '!C21</f>
        <v>405</v>
      </c>
      <c r="D21" s="18">
        <v>27130</v>
      </c>
      <c r="E21" s="18">
        <v>25</v>
      </c>
      <c r="F21" s="95">
        <f t="shared" si="0"/>
        <v>678250</v>
      </c>
      <c r="G21" s="18">
        <f>'[1]T5A_PLAN_vs_PRFM '!G21</f>
        <v>405</v>
      </c>
      <c r="H21" s="26">
        <v>542600</v>
      </c>
      <c r="I21" s="26">
        <v>25</v>
      </c>
      <c r="J21" s="326">
        <f t="shared" si="1"/>
        <v>21704</v>
      </c>
      <c r="L21" s="15">
        <f t="shared" si="2"/>
        <v>542600</v>
      </c>
    </row>
    <row r="22" spans="1:12" x14ac:dyDescent="0.2">
      <c r="A22" s="715">
        <v>11</v>
      </c>
      <c r="B22" s="176" t="s">
        <v>906</v>
      </c>
      <c r="C22" s="18">
        <f>'[1]T5A_PLAN_vs_PRFM '!C22</f>
        <v>440</v>
      </c>
      <c r="D22" s="18">
        <v>45281</v>
      </c>
      <c r="E22" s="18">
        <v>25</v>
      </c>
      <c r="F22" s="95">
        <f t="shared" si="0"/>
        <v>1132025</v>
      </c>
      <c r="G22" s="18">
        <f>'[1]T5A_PLAN_vs_PRFM '!G22</f>
        <v>440</v>
      </c>
      <c r="H22" s="26">
        <v>905620</v>
      </c>
      <c r="I22" s="26">
        <v>25</v>
      </c>
      <c r="J22" s="326">
        <f t="shared" si="1"/>
        <v>36224.800000000003</v>
      </c>
      <c r="L22" s="15">
        <f t="shared" si="2"/>
        <v>905620</v>
      </c>
    </row>
    <row r="23" spans="1:12" x14ac:dyDescent="0.2">
      <c r="A23" s="715">
        <v>12</v>
      </c>
      <c r="B23" s="269" t="s">
        <v>907</v>
      </c>
      <c r="C23" s="18">
        <v>0</v>
      </c>
      <c r="D23" s="18">
        <v>0</v>
      </c>
      <c r="E23" s="18">
        <v>0</v>
      </c>
      <c r="F23" s="95">
        <f t="shared" si="0"/>
        <v>0</v>
      </c>
      <c r="G23" s="18">
        <v>0</v>
      </c>
      <c r="H23" s="26">
        <v>0</v>
      </c>
      <c r="I23" s="26">
        <v>25</v>
      </c>
      <c r="J23" s="326">
        <f t="shared" si="1"/>
        <v>0</v>
      </c>
      <c r="L23" s="15">
        <f t="shared" si="2"/>
        <v>0</v>
      </c>
    </row>
    <row r="24" spans="1:12" x14ac:dyDescent="0.2">
      <c r="A24" s="715">
        <v>13</v>
      </c>
      <c r="B24" s="176" t="s">
        <v>908</v>
      </c>
      <c r="C24" s="18">
        <f>'[1]T5A_PLAN_vs_PRFM '!C24</f>
        <v>240</v>
      </c>
      <c r="D24" s="18">
        <v>24469</v>
      </c>
      <c r="E24" s="18">
        <v>25</v>
      </c>
      <c r="F24" s="95">
        <f t="shared" si="0"/>
        <v>611725</v>
      </c>
      <c r="G24" s="18">
        <f>'[1]T5A_PLAN_vs_PRFM '!G24</f>
        <v>240</v>
      </c>
      <c r="H24" s="26">
        <v>489380</v>
      </c>
      <c r="I24" s="26">
        <v>25</v>
      </c>
      <c r="J24" s="326">
        <f t="shared" si="1"/>
        <v>19575.2</v>
      </c>
      <c r="L24" s="15">
        <f t="shared" si="2"/>
        <v>489380</v>
      </c>
    </row>
    <row r="25" spans="1:12" x14ac:dyDescent="0.2">
      <c r="A25" s="715">
        <v>14</v>
      </c>
      <c r="B25" s="176" t="s">
        <v>909</v>
      </c>
      <c r="C25" s="18">
        <f>'[1]T5A_PLAN_vs_PRFM '!C25</f>
        <v>296</v>
      </c>
      <c r="D25" s="18">
        <v>24472</v>
      </c>
      <c r="E25" s="18">
        <v>25</v>
      </c>
      <c r="F25" s="95">
        <f t="shared" si="0"/>
        <v>611800</v>
      </c>
      <c r="G25" s="18">
        <f>'[1]T5A_PLAN_vs_PRFM '!G25</f>
        <v>296</v>
      </c>
      <c r="H25" s="26">
        <v>489440</v>
      </c>
      <c r="I25" s="26">
        <v>25</v>
      </c>
      <c r="J25" s="326">
        <f t="shared" si="1"/>
        <v>19577.599999999999</v>
      </c>
      <c r="L25" s="15">
        <f t="shared" si="2"/>
        <v>489440</v>
      </c>
    </row>
    <row r="26" spans="1:12" x14ac:dyDescent="0.2">
      <c r="A26" s="715">
        <v>15</v>
      </c>
      <c r="B26" s="176" t="s">
        <v>910</v>
      </c>
      <c r="C26" s="18">
        <f>'[1]T5A_PLAN_vs_PRFM '!C26</f>
        <v>644</v>
      </c>
      <c r="D26" s="18">
        <v>54562</v>
      </c>
      <c r="E26" s="18">
        <v>25</v>
      </c>
      <c r="F26" s="95">
        <f t="shared" si="0"/>
        <v>1364050</v>
      </c>
      <c r="G26" s="18">
        <f>'[1]T5A_PLAN_vs_PRFM '!G26</f>
        <v>644</v>
      </c>
      <c r="H26" s="26">
        <v>1091240</v>
      </c>
      <c r="I26" s="26">
        <v>25</v>
      </c>
      <c r="J26" s="326">
        <f t="shared" si="1"/>
        <v>43649.599999999999</v>
      </c>
      <c r="L26" s="15">
        <f t="shared" si="2"/>
        <v>1091240</v>
      </c>
    </row>
    <row r="27" spans="1:12" x14ac:dyDescent="0.2">
      <c r="A27" s="715">
        <v>16</v>
      </c>
      <c r="B27" s="176" t="s">
        <v>911</v>
      </c>
      <c r="C27" s="18">
        <f>'[1]T5A_PLAN_vs_PRFM '!C27</f>
        <v>1248</v>
      </c>
      <c r="D27" s="18">
        <v>62256</v>
      </c>
      <c r="E27" s="18">
        <v>25</v>
      </c>
      <c r="F27" s="95">
        <f t="shared" si="0"/>
        <v>1556400</v>
      </c>
      <c r="G27" s="18">
        <f>'[1]T5A_PLAN_vs_PRFM '!G27</f>
        <v>1248</v>
      </c>
      <c r="H27" s="26">
        <v>1245120</v>
      </c>
      <c r="I27" s="26">
        <v>25</v>
      </c>
      <c r="J27" s="326">
        <f t="shared" si="1"/>
        <v>49804.800000000003</v>
      </c>
      <c r="L27" s="15">
        <f t="shared" si="2"/>
        <v>1245120</v>
      </c>
    </row>
    <row r="28" spans="1:12" x14ac:dyDescent="0.2">
      <c r="A28" s="715">
        <v>17</v>
      </c>
      <c r="B28" s="176" t="s">
        <v>912</v>
      </c>
      <c r="C28" s="18">
        <f>'[1]T5A_PLAN_vs_PRFM '!C28</f>
        <v>603</v>
      </c>
      <c r="D28" s="18">
        <v>57075</v>
      </c>
      <c r="E28" s="18">
        <v>25</v>
      </c>
      <c r="F28" s="95">
        <f t="shared" si="0"/>
        <v>1426875</v>
      </c>
      <c r="G28" s="18">
        <f>'[1]T5A_PLAN_vs_PRFM '!G28</f>
        <v>603</v>
      </c>
      <c r="H28" s="26">
        <v>1141500</v>
      </c>
      <c r="I28" s="26">
        <v>25</v>
      </c>
      <c r="J28" s="326">
        <f t="shared" si="1"/>
        <v>45660</v>
      </c>
      <c r="L28" s="15">
        <f t="shared" si="2"/>
        <v>1141500</v>
      </c>
    </row>
    <row r="29" spans="1:12" x14ac:dyDescent="0.2">
      <c r="A29" s="715">
        <v>18</v>
      </c>
      <c r="B29" s="176" t="s">
        <v>913</v>
      </c>
      <c r="C29" s="18">
        <f>'[1]T5A_PLAN_vs_PRFM '!C29</f>
        <v>532</v>
      </c>
      <c r="D29" s="18">
        <v>47864</v>
      </c>
      <c r="E29" s="18">
        <v>25</v>
      </c>
      <c r="F29" s="95">
        <f t="shared" si="0"/>
        <v>1196600</v>
      </c>
      <c r="G29" s="18">
        <f>'[1]T5A_PLAN_vs_PRFM '!G29</f>
        <v>532</v>
      </c>
      <c r="H29" s="26">
        <v>957280</v>
      </c>
      <c r="I29" s="26">
        <v>25</v>
      </c>
      <c r="J29" s="326">
        <f t="shared" si="1"/>
        <v>38291.199999999997</v>
      </c>
      <c r="L29" s="15">
        <f t="shared" si="2"/>
        <v>957280</v>
      </c>
    </row>
    <row r="30" spans="1:12" x14ac:dyDescent="0.2">
      <c r="A30" s="715">
        <v>19</v>
      </c>
      <c r="B30" s="176" t="s">
        <v>914</v>
      </c>
      <c r="C30" s="18">
        <f>'[1]T5A_PLAN_vs_PRFM '!C30</f>
        <v>810</v>
      </c>
      <c r="D30" s="18">
        <v>35779</v>
      </c>
      <c r="E30" s="18">
        <v>25</v>
      </c>
      <c r="F30" s="95">
        <f t="shared" si="0"/>
        <v>894475</v>
      </c>
      <c r="G30" s="18">
        <f>'[1]T5A_PLAN_vs_PRFM '!G30</f>
        <v>810</v>
      </c>
      <c r="H30" s="26">
        <v>715580</v>
      </c>
      <c r="I30" s="26">
        <v>25</v>
      </c>
      <c r="J30" s="326">
        <f t="shared" si="1"/>
        <v>28623.200000000001</v>
      </c>
      <c r="L30" s="15">
        <f t="shared" si="2"/>
        <v>715580</v>
      </c>
    </row>
    <row r="31" spans="1:12" x14ac:dyDescent="0.2">
      <c r="A31" s="715">
        <v>20</v>
      </c>
      <c r="B31" s="176" t="s">
        <v>915</v>
      </c>
      <c r="C31" s="18">
        <f>'[1]T5A_PLAN_vs_PRFM '!C31</f>
        <v>415</v>
      </c>
      <c r="D31" s="18">
        <v>24890</v>
      </c>
      <c r="E31" s="18">
        <v>25</v>
      </c>
      <c r="F31" s="95">
        <f t="shared" si="0"/>
        <v>622250</v>
      </c>
      <c r="G31" s="18">
        <f>'[1]T5A_PLAN_vs_PRFM '!G31</f>
        <v>415</v>
      </c>
      <c r="H31" s="26">
        <v>497800</v>
      </c>
      <c r="I31" s="26">
        <v>25</v>
      </c>
      <c r="J31" s="326">
        <f t="shared" si="1"/>
        <v>19912</v>
      </c>
      <c r="L31" s="15">
        <f t="shared" si="2"/>
        <v>497800</v>
      </c>
    </row>
    <row r="32" spans="1:12" x14ac:dyDescent="0.2">
      <c r="A32" s="715">
        <v>21</v>
      </c>
      <c r="B32" s="176" t="s">
        <v>916</v>
      </c>
      <c r="C32" s="18">
        <f>'[1]T5A_PLAN_vs_PRFM '!C32</f>
        <v>528</v>
      </c>
      <c r="D32" s="18">
        <v>31956</v>
      </c>
      <c r="E32" s="18">
        <v>25</v>
      </c>
      <c r="F32" s="95">
        <f t="shared" si="0"/>
        <v>798900</v>
      </c>
      <c r="G32" s="18">
        <f>'[1]T5A_PLAN_vs_PRFM '!G32</f>
        <v>528</v>
      </c>
      <c r="H32" s="26">
        <v>639120</v>
      </c>
      <c r="I32" s="26">
        <v>25</v>
      </c>
      <c r="J32" s="326">
        <f t="shared" si="1"/>
        <v>25564.799999999999</v>
      </c>
      <c r="L32" s="15">
        <f t="shared" si="2"/>
        <v>639120</v>
      </c>
    </row>
    <row r="33" spans="1:12" x14ac:dyDescent="0.2">
      <c r="A33" s="715">
        <v>22</v>
      </c>
      <c r="B33" s="176" t="s">
        <v>917</v>
      </c>
      <c r="C33" s="18">
        <f>'[1]T5A_PLAN_vs_PRFM '!C33</f>
        <v>383</v>
      </c>
      <c r="D33" s="18">
        <v>17528</v>
      </c>
      <c r="E33" s="18">
        <v>25</v>
      </c>
      <c r="F33" s="95">
        <f t="shared" si="0"/>
        <v>438200</v>
      </c>
      <c r="G33" s="18">
        <f>'[1]T5A_PLAN_vs_PRFM '!G33</f>
        <v>383</v>
      </c>
      <c r="H33" s="26">
        <v>350560</v>
      </c>
      <c r="I33" s="26">
        <v>25</v>
      </c>
      <c r="J33" s="326">
        <f t="shared" si="1"/>
        <v>14022.4</v>
      </c>
      <c r="L33" s="15">
        <f t="shared" si="2"/>
        <v>350560</v>
      </c>
    </row>
    <row r="34" spans="1:12" x14ac:dyDescent="0.2">
      <c r="A34" s="715">
        <v>23</v>
      </c>
      <c r="B34" s="176" t="s">
        <v>918</v>
      </c>
      <c r="C34" s="18">
        <f>'[1]T5A_PLAN_vs_PRFM '!C34</f>
        <v>618</v>
      </c>
      <c r="D34" s="18">
        <v>39321</v>
      </c>
      <c r="E34" s="18">
        <v>25</v>
      </c>
      <c r="F34" s="95">
        <f t="shared" si="0"/>
        <v>983025</v>
      </c>
      <c r="G34" s="18">
        <f>'[1]T5A_PLAN_vs_PRFM '!G34</f>
        <v>618</v>
      </c>
      <c r="H34" s="26">
        <v>786420</v>
      </c>
      <c r="I34" s="26">
        <v>25</v>
      </c>
      <c r="J34" s="326">
        <f t="shared" si="1"/>
        <v>31456.799999999999</v>
      </c>
      <c r="L34" s="15">
        <f t="shared" si="2"/>
        <v>786420</v>
      </c>
    </row>
    <row r="35" spans="1:12" x14ac:dyDescent="0.2">
      <c r="A35" s="715">
        <v>24</v>
      </c>
      <c r="B35" s="18" t="s">
        <v>919</v>
      </c>
      <c r="C35" s="18">
        <f>'[1]T5A_PLAN_vs_PRFM '!C35</f>
        <v>649</v>
      </c>
      <c r="D35" s="18">
        <v>69714</v>
      </c>
      <c r="E35" s="18">
        <v>25</v>
      </c>
      <c r="F35" s="95">
        <f t="shared" si="0"/>
        <v>1742850</v>
      </c>
      <c r="G35" s="18">
        <f>'[1]T5A_PLAN_vs_PRFM '!G35</f>
        <v>649</v>
      </c>
      <c r="H35" s="26">
        <v>1394280</v>
      </c>
      <c r="I35" s="26">
        <v>25</v>
      </c>
      <c r="J35" s="326">
        <f t="shared" si="1"/>
        <v>55771.199999999997</v>
      </c>
      <c r="L35" s="15">
        <f t="shared" si="2"/>
        <v>1394280</v>
      </c>
    </row>
    <row r="36" spans="1:12" x14ac:dyDescent="0.2">
      <c r="A36" s="798" t="s">
        <v>18</v>
      </c>
      <c r="B36" s="800"/>
      <c r="C36" s="27">
        <f>SUM(C12:C35)</f>
        <v>10472</v>
      </c>
      <c r="D36" s="27">
        <f t="shared" ref="D36:J36" si="3">SUM(D12:D35)</f>
        <v>744254</v>
      </c>
      <c r="E36" s="27"/>
      <c r="F36" s="27">
        <f t="shared" si="3"/>
        <v>18606350</v>
      </c>
      <c r="G36" s="27">
        <f t="shared" si="3"/>
        <v>10472</v>
      </c>
      <c r="H36" s="27">
        <f t="shared" si="3"/>
        <v>14885080</v>
      </c>
      <c r="I36" s="27"/>
      <c r="J36" s="310">
        <f t="shared" si="3"/>
        <v>595403.19999999995</v>
      </c>
    </row>
    <row r="37" spans="1:12" x14ac:dyDescent="0.2">
      <c r="A37" s="11"/>
      <c r="B37" s="28"/>
      <c r="C37" s="28"/>
      <c r="D37" s="20"/>
      <c r="E37" s="20"/>
      <c r="F37" s="20"/>
      <c r="G37" s="20"/>
      <c r="H37" s="20"/>
      <c r="I37" s="20"/>
      <c r="J37" s="20"/>
    </row>
    <row r="38" spans="1:12" x14ac:dyDescent="0.2">
      <c r="A38" s="938" t="s">
        <v>712</v>
      </c>
      <c r="B38" s="938"/>
      <c r="C38" s="938"/>
      <c r="D38" s="938"/>
      <c r="E38" s="938"/>
      <c r="F38" s="938"/>
      <c r="G38" s="938"/>
      <c r="H38" s="938"/>
      <c r="I38" s="20"/>
      <c r="J38" s="20"/>
    </row>
    <row r="39" spans="1:12" x14ac:dyDescent="0.2">
      <c r="A39" s="11"/>
      <c r="B39" s="28"/>
      <c r="C39" s="28"/>
      <c r="D39" s="20"/>
      <c r="E39" s="20"/>
      <c r="F39" s="20"/>
      <c r="G39" s="20"/>
      <c r="H39" s="20"/>
      <c r="I39" s="20"/>
      <c r="J39" s="20"/>
    </row>
    <row r="40" spans="1:12" ht="15.75" customHeight="1" x14ac:dyDescent="0.2">
      <c r="A40" s="14" t="s">
        <v>11</v>
      </c>
      <c r="B40" s="14"/>
      <c r="C40" s="14"/>
      <c r="D40" s="14"/>
      <c r="E40" s="14"/>
      <c r="F40" s="14"/>
      <c r="G40" s="14"/>
      <c r="H40" s="717"/>
      <c r="I40" s="821" t="s">
        <v>12</v>
      </c>
      <c r="J40" s="821"/>
    </row>
    <row r="41" spans="1:12" ht="12.75" customHeight="1" x14ac:dyDescent="0.2">
      <c r="A41" s="803" t="s">
        <v>13</v>
      </c>
      <c r="B41" s="803"/>
      <c r="C41" s="803"/>
      <c r="D41" s="803"/>
      <c r="E41" s="803"/>
      <c r="F41" s="803"/>
      <c r="G41" s="803"/>
      <c r="H41" s="803"/>
      <c r="I41" s="803"/>
      <c r="J41" s="803"/>
    </row>
    <row r="42" spans="1:12" ht="12.75" customHeight="1" x14ac:dyDescent="0.2">
      <c r="A42" s="803" t="s">
        <v>19</v>
      </c>
      <c r="B42" s="803"/>
      <c r="C42" s="803"/>
      <c r="D42" s="803"/>
      <c r="E42" s="803"/>
      <c r="F42" s="803"/>
      <c r="G42" s="803"/>
      <c r="H42" s="803"/>
      <c r="I42" s="803"/>
      <c r="J42" s="803"/>
    </row>
    <row r="43" spans="1:12" x14ac:dyDescent="0.2">
      <c r="A43" s="14"/>
      <c r="B43" s="14"/>
      <c r="C43" s="14"/>
      <c r="D43" s="717"/>
      <c r="E43" s="14"/>
      <c r="F43" s="717"/>
      <c r="G43" s="717"/>
      <c r="H43" s="820" t="s">
        <v>84</v>
      </c>
      <c r="I43" s="820"/>
      <c r="J43" s="820"/>
    </row>
    <row r="44" spans="1:12" x14ac:dyDescent="0.2">
      <c r="A44" s="706"/>
      <c r="B44" s="706"/>
      <c r="C44" s="706"/>
      <c r="D44" s="706"/>
      <c r="E44" s="706"/>
      <c r="F44" s="706"/>
      <c r="G44" s="706"/>
      <c r="H44" s="706"/>
      <c r="I44" s="706"/>
      <c r="J44" s="706"/>
    </row>
    <row r="47" spans="1:12" x14ac:dyDescent="0.2">
      <c r="A47" s="939"/>
      <c r="B47" s="939"/>
      <c r="C47" s="939"/>
      <c r="D47" s="939"/>
      <c r="E47" s="939"/>
      <c r="F47" s="939"/>
      <c r="G47" s="939"/>
      <c r="H47" s="939"/>
      <c r="I47" s="939"/>
      <c r="J47" s="939"/>
    </row>
    <row r="49" spans="1:10" x14ac:dyDescent="0.2">
      <c r="A49" s="939"/>
      <c r="B49" s="939"/>
      <c r="C49" s="939"/>
      <c r="D49" s="939"/>
      <c r="E49" s="939"/>
      <c r="F49" s="939"/>
      <c r="G49" s="939"/>
      <c r="H49" s="939"/>
      <c r="I49" s="939"/>
      <c r="J49" s="939"/>
    </row>
  </sheetData>
  <mergeCells count="18">
    <mergeCell ref="H8:J8"/>
    <mergeCell ref="A38:H38"/>
    <mergeCell ref="E1:I1"/>
    <mergeCell ref="A2:J2"/>
    <mergeCell ref="A3:J3"/>
    <mergeCell ref="A5:J5"/>
    <mergeCell ref="A6:B6"/>
    <mergeCell ref="A42:J42"/>
    <mergeCell ref="H43:J43"/>
    <mergeCell ref="A47:J47"/>
    <mergeCell ref="A49:J49"/>
    <mergeCell ref="A9:A10"/>
    <mergeCell ref="B9:B10"/>
    <mergeCell ref="C9:F9"/>
    <mergeCell ref="G9:J9"/>
    <mergeCell ref="I40:J40"/>
    <mergeCell ref="A36:B36"/>
    <mergeCell ref="A41:J41"/>
  </mergeCells>
  <printOptions horizontalCentered="1"/>
  <pageMargins left="0.41" right="0.37" top="0.23622047244094491" bottom="0" header="0.25" footer="0.16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topLeftCell="A29" zoomScaleSheetLayoutView="120" workbookViewId="0">
      <selection activeCell="C40" sqref="C40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796" t="s">
        <v>548</v>
      </c>
      <c r="B1" s="796"/>
      <c r="C1" s="796"/>
      <c r="D1" s="796"/>
      <c r="E1" s="230"/>
      <c r="F1" s="230"/>
      <c r="G1" s="230"/>
    </row>
    <row r="2" spans="1:7" x14ac:dyDescent="0.2">
      <c r="A2" s="3" t="s">
        <v>74</v>
      </c>
      <c r="B2" s="3" t="s">
        <v>549</v>
      </c>
      <c r="C2" s="3" t="s">
        <v>550</v>
      </c>
    </row>
    <row r="3" spans="1:7" x14ac:dyDescent="0.2">
      <c r="A3" s="8">
        <v>1</v>
      </c>
      <c r="B3" s="248" t="s">
        <v>551</v>
      </c>
      <c r="C3" s="248" t="s">
        <v>760</v>
      </c>
    </row>
    <row r="4" spans="1:7" x14ac:dyDescent="0.2">
      <c r="A4" s="8">
        <v>2</v>
      </c>
      <c r="B4" s="248" t="s">
        <v>552</v>
      </c>
      <c r="C4" s="248" t="s">
        <v>761</v>
      </c>
    </row>
    <row r="5" spans="1:7" x14ac:dyDescent="0.2">
      <c r="A5" s="8">
        <v>3</v>
      </c>
      <c r="B5" s="248" t="s">
        <v>553</v>
      </c>
      <c r="C5" s="248" t="s">
        <v>762</v>
      </c>
    </row>
    <row r="6" spans="1:7" x14ac:dyDescent="0.2">
      <c r="A6" s="8">
        <v>4</v>
      </c>
      <c r="B6" s="248" t="s">
        <v>889</v>
      </c>
      <c r="C6" s="248" t="s">
        <v>890</v>
      </c>
    </row>
    <row r="7" spans="1:7" x14ac:dyDescent="0.2">
      <c r="A7" s="8">
        <v>5</v>
      </c>
      <c r="B7" s="248" t="s">
        <v>554</v>
      </c>
      <c r="C7" s="248" t="s">
        <v>763</v>
      </c>
    </row>
    <row r="8" spans="1:7" x14ac:dyDescent="0.2">
      <c r="A8" s="8">
        <v>6</v>
      </c>
      <c r="B8" s="248" t="s">
        <v>555</v>
      </c>
      <c r="C8" s="248" t="s">
        <v>764</v>
      </c>
    </row>
    <row r="9" spans="1:7" x14ac:dyDescent="0.2">
      <c r="A9" s="8">
        <v>7</v>
      </c>
      <c r="B9" s="248" t="s">
        <v>556</v>
      </c>
      <c r="C9" s="248" t="s">
        <v>765</v>
      </c>
    </row>
    <row r="10" spans="1:7" x14ac:dyDescent="0.2">
      <c r="A10" s="8">
        <v>8</v>
      </c>
      <c r="B10" s="248" t="s">
        <v>557</v>
      </c>
      <c r="C10" s="248" t="s">
        <v>766</v>
      </c>
    </row>
    <row r="11" spans="1:7" x14ac:dyDescent="0.2">
      <c r="A11" s="8">
        <v>9</v>
      </c>
      <c r="B11" s="248" t="s">
        <v>558</v>
      </c>
      <c r="C11" s="248" t="s">
        <v>767</v>
      </c>
    </row>
    <row r="12" spans="1:7" x14ac:dyDescent="0.2">
      <c r="A12" s="8">
        <v>10</v>
      </c>
      <c r="B12" s="248" t="s">
        <v>559</v>
      </c>
      <c r="C12" s="248" t="s">
        <v>768</v>
      </c>
    </row>
    <row r="13" spans="1:7" x14ac:dyDescent="0.2">
      <c r="A13" s="8">
        <v>11</v>
      </c>
      <c r="B13" s="248" t="s">
        <v>677</v>
      </c>
      <c r="C13" s="248" t="s">
        <v>678</v>
      </c>
    </row>
    <row r="14" spans="1:7" x14ac:dyDescent="0.2">
      <c r="A14" s="8">
        <v>12</v>
      </c>
      <c r="B14" s="248" t="s">
        <v>560</v>
      </c>
      <c r="C14" s="248" t="s">
        <v>769</v>
      </c>
    </row>
    <row r="15" spans="1:7" x14ac:dyDescent="0.2">
      <c r="A15" s="8">
        <v>13</v>
      </c>
      <c r="B15" s="248" t="s">
        <v>561</v>
      </c>
      <c r="C15" s="248" t="s">
        <v>770</v>
      </c>
    </row>
    <row r="16" spans="1:7" x14ac:dyDescent="0.2">
      <c r="A16" s="8">
        <v>14</v>
      </c>
      <c r="B16" s="248" t="s">
        <v>562</v>
      </c>
      <c r="C16" s="248" t="s">
        <v>771</v>
      </c>
    </row>
    <row r="17" spans="1:3" x14ac:dyDescent="0.2">
      <c r="A17" s="8">
        <v>15</v>
      </c>
      <c r="B17" s="248" t="s">
        <v>563</v>
      </c>
      <c r="C17" s="248" t="s">
        <v>772</v>
      </c>
    </row>
    <row r="18" spans="1:3" x14ac:dyDescent="0.2">
      <c r="A18" s="8">
        <v>16</v>
      </c>
      <c r="B18" s="248" t="s">
        <v>564</v>
      </c>
      <c r="C18" s="248" t="s">
        <v>773</v>
      </c>
    </row>
    <row r="19" spans="1:3" x14ac:dyDescent="0.2">
      <c r="A19" s="8">
        <v>17</v>
      </c>
      <c r="B19" s="248" t="s">
        <v>565</v>
      </c>
      <c r="C19" s="248" t="s">
        <v>774</v>
      </c>
    </row>
    <row r="20" spans="1:3" x14ac:dyDescent="0.2">
      <c r="A20" s="8">
        <v>18</v>
      </c>
      <c r="B20" s="248" t="s">
        <v>566</v>
      </c>
      <c r="C20" s="248" t="s">
        <v>775</v>
      </c>
    </row>
    <row r="21" spans="1:3" x14ac:dyDescent="0.2">
      <c r="A21" s="8">
        <v>19</v>
      </c>
      <c r="B21" s="248" t="s">
        <v>567</v>
      </c>
      <c r="C21" s="248" t="s">
        <v>776</v>
      </c>
    </row>
    <row r="22" spans="1:3" x14ac:dyDescent="0.2">
      <c r="A22" s="8">
        <v>20</v>
      </c>
      <c r="B22" s="248" t="s">
        <v>568</v>
      </c>
      <c r="C22" s="248" t="s">
        <v>777</v>
      </c>
    </row>
    <row r="23" spans="1:3" x14ac:dyDescent="0.2">
      <c r="A23" s="8">
        <v>21</v>
      </c>
      <c r="B23" s="248" t="s">
        <v>569</v>
      </c>
      <c r="C23" s="248" t="s">
        <v>778</v>
      </c>
    </row>
    <row r="24" spans="1:3" x14ac:dyDescent="0.2">
      <c r="A24" s="8">
        <v>22</v>
      </c>
      <c r="B24" s="248" t="s">
        <v>570</v>
      </c>
      <c r="C24" s="248" t="s">
        <v>779</v>
      </c>
    </row>
    <row r="25" spans="1:3" x14ac:dyDescent="0.2">
      <c r="A25" s="8">
        <v>23</v>
      </c>
      <c r="B25" s="248" t="s">
        <v>571</v>
      </c>
      <c r="C25" s="248" t="s">
        <v>780</v>
      </c>
    </row>
    <row r="26" spans="1:3" x14ac:dyDescent="0.2">
      <c r="A26" s="8">
        <v>24</v>
      </c>
      <c r="B26" s="248" t="s">
        <v>572</v>
      </c>
      <c r="C26" s="248" t="s">
        <v>781</v>
      </c>
    </row>
    <row r="27" spans="1:3" x14ac:dyDescent="0.2">
      <c r="A27" s="8">
        <v>25</v>
      </c>
      <c r="B27" s="248" t="s">
        <v>573</v>
      </c>
      <c r="C27" s="248" t="s">
        <v>782</v>
      </c>
    </row>
    <row r="28" spans="1:3" x14ac:dyDescent="0.2">
      <c r="A28" s="8">
        <v>26</v>
      </c>
      <c r="B28" s="248" t="s">
        <v>574</v>
      </c>
      <c r="C28" s="248" t="s">
        <v>783</v>
      </c>
    </row>
    <row r="29" spans="1:3" x14ac:dyDescent="0.2">
      <c r="A29" s="8">
        <v>27</v>
      </c>
      <c r="B29" s="248" t="s">
        <v>575</v>
      </c>
      <c r="C29" s="248" t="s">
        <v>784</v>
      </c>
    </row>
    <row r="30" spans="1:3" x14ac:dyDescent="0.2">
      <c r="A30" s="8">
        <v>28</v>
      </c>
      <c r="B30" s="248" t="s">
        <v>576</v>
      </c>
      <c r="C30" s="248" t="s">
        <v>577</v>
      </c>
    </row>
    <row r="31" spans="1:3" x14ac:dyDescent="0.2">
      <c r="A31" s="8">
        <v>29</v>
      </c>
      <c r="B31" s="248" t="s">
        <v>578</v>
      </c>
      <c r="C31" s="248" t="s">
        <v>579</v>
      </c>
    </row>
    <row r="32" spans="1:3" x14ac:dyDescent="0.2">
      <c r="A32" s="8">
        <v>30</v>
      </c>
      <c r="B32" s="248" t="s">
        <v>580</v>
      </c>
      <c r="C32" s="248" t="s">
        <v>581</v>
      </c>
    </row>
    <row r="33" spans="1:3" x14ac:dyDescent="0.2">
      <c r="A33" s="8">
        <v>31</v>
      </c>
      <c r="B33" s="248" t="s">
        <v>676</v>
      </c>
      <c r="C33" s="248" t="s">
        <v>675</v>
      </c>
    </row>
    <row r="34" spans="1:3" x14ac:dyDescent="0.2">
      <c r="A34" s="8">
        <v>32</v>
      </c>
      <c r="B34" s="248" t="s">
        <v>724</v>
      </c>
      <c r="C34" s="248" t="s">
        <v>725</v>
      </c>
    </row>
    <row r="35" spans="1:3" x14ac:dyDescent="0.2">
      <c r="A35" s="8">
        <v>33</v>
      </c>
      <c r="B35" s="248" t="s">
        <v>582</v>
      </c>
      <c r="C35" s="248" t="s">
        <v>583</v>
      </c>
    </row>
    <row r="36" spans="1:3" x14ac:dyDescent="0.2">
      <c r="A36" s="8">
        <v>34</v>
      </c>
      <c r="B36" s="248" t="s">
        <v>584</v>
      </c>
      <c r="C36" s="248" t="s">
        <v>583</v>
      </c>
    </row>
    <row r="37" spans="1:3" x14ac:dyDescent="0.2">
      <c r="A37" s="8">
        <v>35</v>
      </c>
      <c r="B37" s="248" t="s">
        <v>585</v>
      </c>
      <c r="C37" s="248" t="s">
        <v>586</v>
      </c>
    </row>
    <row r="38" spans="1:3" x14ac:dyDescent="0.2">
      <c r="A38" s="8">
        <v>36</v>
      </c>
      <c r="B38" s="248" t="s">
        <v>587</v>
      </c>
      <c r="C38" s="248" t="s">
        <v>588</v>
      </c>
    </row>
    <row r="39" spans="1:3" x14ac:dyDescent="0.2">
      <c r="A39" s="8">
        <v>37</v>
      </c>
      <c r="B39" s="248" t="s">
        <v>589</v>
      </c>
      <c r="C39" s="248" t="s">
        <v>590</v>
      </c>
    </row>
    <row r="40" spans="1:3" x14ac:dyDescent="0.2">
      <c r="A40" s="8">
        <v>38</v>
      </c>
      <c r="B40" s="248" t="s">
        <v>591</v>
      </c>
      <c r="C40" s="248" t="s">
        <v>592</v>
      </c>
    </row>
    <row r="41" spans="1:3" x14ac:dyDescent="0.2">
      <c r="A41" s="8">
        <v>39</v>
      </c>
      <c r="B41" s="248" t="s">
        <v>593</v>
      </c>
      <c r="C41" s="248" t="s">
        <v>594</v>
      </c>
    </row>
    <row r="42" spans="1:3" x14ac:dyDescent="0.2">
      <c r="A42" s="8">
        <v>40</v>
      </c>
      <c r="B42" s="248" t="s">
        <v>595</v>
      </c>
      <c r="C42" s="248" t="s">
        <v>596</v>
      </c>
    </row>
    <row r="43" spans="1:3" x14ac:dyDescent="0.2">
      <c r="A43" s="8">
        <v>41</v>
      </c>
      <c r="B43" s="248" t="s">
        <v>597</v>
      </c>
      <c r="C43" s="248" t="s">
        <v>598</v>
      </c>
    </row>
    <row r="44" spans="1:3" x14ac:dyDescent="0.2">
      <c r="A44" s="8">
        <v>42</v>
      </c>
      <c r="B44" s="248" t="s">
        <v>599</v>
      </c>
      <c r="C44" s="248" t="s">
        <v>785</v>
      </c>
    </row>
    <row r="45" spans="1:3" x14ac:dyDescent="0.2">
      <c r="A45" s="8">
        <v>43</v>
      </c>
      <c r="B45" s="248" t="s">
        <v>600</v>
      </c>
      <c r="C45" s="248" t="s">
        <v>601</v>
      </c>
    </row>
    <row r="46" spans="1:3" x14ac:dyDescent="0.2">
      <c r="A46" s="8">
        <v>44</v>
      </c>
      <c r="B46" s="248" t="s">
        <v>602</v>
      </c>
      <c r="C46" s="248" t="s">
        <v>603</v>
      </c>
    </row>
    <row r="47" spans="1:3" x14ac:dyDescent="0.2">
      <c r="A47" s="8">
        <v>45</v>
      </c>
      <c r="B47" s="248" t="s">
        <v>604</v>
      </c>
      <c r="C47" s="248" t="s">
        <v>605</v>
      </c>
    </row>
    <row r="48" spans="1:3" x14ac:dyDescent="0.2">
      <c r="A48" s="8">
        <v>46</v>
      </c>
      <c r="B48" s="248" t="s">
        <v>606</v>
      </c>
      <c r="C48" s="248" t="s">
        <v>607</v>
      </c>
    </row>
    <row r="49" spans="1:3" x14ac:dyDescent="0.2">
      <c r="A49" s="8">
        <v>47</v>
      </c>
      <c r="B49" s="248" t="s">
        <v>608</v>
      </c>
      <c r="C49" s="248" t="s">
        <v>609</v>
      </c>
    </row>
    <row r="50" spans="1:3" x14ac:dyDescent="0.2">
      <c r="A50" s="8">
        <v>48</v>
      </c>
      <c r="B50" s="248" t="s">
        <v>610</v>
      </c>
      <c r="C50" s="248" t="s">
        <v>786</v>
      </c>
    </row>
    <row r="51" spans="1:3" x14ac:dyDescent="0.2">
      <c r="A51" s="8">
        <v>49</v>
      </c>
      <c r="B51" s="248" t="s">
        <v>611</v>
      </c>
      <c r="C51" s="248" t="s">
        <v>787</v>
      </c>
    </row>
    <row r="52" spans="1:3" x14ac:dyDescent="0.2">
      <c r="A52" s="8">
        <v>50</v>
      </c>
      <c r="B52" s="248" t="s">
        <v>612</v>
      </c>
      <c r="C52" s="248" t="s">
        <v>613</v>
      </c>
    </row>
    <row r="53" spans="1:3" x14ac:dyDescent="0.2">
      <c r="A53" s="8">
        <v>51</v>
      </c>
      <c r="B53" s="248" t="s">
        <v>614</v>
      </c>
      <c r="C53" s="248" t="s">
        <v>615</v>
      </c>
    </row>
    <row r="54" spans="1:3" x14ac:dyDescent="0.2">
      <c r="A54" s="8">
        <v>52</v>
      </c>
      <c r="B54" s="248" t="s">
        <v>616</v>
      </c>
      <c r="C54" s="248" t="s">
        <v>727</v>
      </c>
    </row>
    <row r="55" spans="1:3" x14ac:dyDescent="0.2">
      <c r="A55" s="8">
        <v>53</v>
      </c>
      <c r="B55" s="248" t="s">
        <v>617</v>
      </c>
      <c r="C55" s="248" t="s">
        <v>728</v>
      </c>
    </row>
    <row r="56" spans="1:3" x14ac:dyDescent="0.2">
      <c r="A56" s="8">
        <v>54</v>
      </c>
      <c r="B56" s="248" t="s">
        <v>618</v>
      </c>
      <c r="C56" s="248" t="s">
        <v>729</v>
      </c>
    </row>
    <row r="57" spans="1:3" x14ac:dyDescent="0.2">
      <c r="A57" s="8">
        <v>55</v>
      </c>
      <c r="B57" s="248" t="s">
        <v>619</v>
      </c>
      <c r="C57" s="248" t="s">
        <v>730</v>
      </c>
    </row>
    <row r="58" spans="1:3" x14ac:dyDescent="0.2">
      <c r="A58" s="8">
        <v>56</v>
      </c>
      <c r="B58" s="248" t="s">
        <v>620</v>
      </c>
      <c r="C58" s="248" t="s">
        <v>731</v>
      </c>
    </row>
    <row r="59" spans="1:3" x14ac:dyDescent="0.2">
      <c r="A59" s="8">
        <v>57</v>
      </c>
      <c r="B59" s="248" t="s">
        <v>621</v>
      </c>
      <c r="C59" s="248" t="s">
        <v>732</v>
      </c>
    </row>
    <row r="60" spans="1:3" x14ac:dyDescent="0.2">
      <c r="A60" s="8">
        <v>58</v>
      </c>
      <c r="B60" s="248" t="s">
        <v>622</v>
      </c>
      <c r="C60" s="248" t="s">
        <v>733</v>
      </c>
    </row>
    <row r="61" spans="1:3" x14ac:dyDescent="0.2">
      <c r="A61" s="8">
        <v>59</v>
      </c>
      <c r="B61" s="248" t="s">
        <v>623</v>
      </c>
      <c r="C61" s="248" t="s">
        <v>734</v>
      </c>
    </row>
    <row r="62" spans="1:3" x14ac:dyDescent="0.2">
      <c r="A62" s="8">
        <v>60</v>
      </c>
      <c r="B62" s="248" t="s">
        <v>624</v>
      </c>
      <c r="C62" s="248" t="s">
        <v>735</v>
      </c>
    </row>
    <row r="63" spans="1:3" x14ac:dyDescent="0.2">
      <c r="A63" s="8">
        <v>61</v>
      </c>
      <c r="B63" s="248" t="s">
        <v>695</v>
      </c>
      <c r="C63" s="248" t="s">
        <v>699</v>
      </c>
    </row>
    <row r="64" spans="1:3" x14ac:dyDescent="0.2">
      <c r="A64" s="8">
        <v>62</v>
      </c>
      <c r="B64" s="248" t="s">
        <v>625</v>
      </c>
      <c r="C64" s="248" t="s">
        <v>736</v>
      </c>
    </row>
    <row r="65" spans="1:3" x14ac:dyDescent="0.2">
      <c r="A65" s="8">
        <v>63</v>
      </c>
      <c r="B65" s="249" t="s">
        <v>700</v>
      </c>
      <c r="C65" s="248" t="s">
        <v>737</v>
      </c>
    </row>
    <row r="66" spans="1:3" x14ac:dyDescent="0.2">
      <c r="A66" s="8">
        <v>64</v>
      </c>
      <c r="B66" s="248" t="s">
        <v>626</v>
      </c>
      <c r="C66" s="248" t="s">
        <v>738</v>
      </c>
    </row>
    <row r="67" spans="1:3" x14ac:dyDescent="0.2">
      <c r="A67" s="8">
        <v>65</v>
      </c>
      <c r="B67" s="248" t="s">
        <v>627</v>
      </c>
      <c r="C67" s="248" t="s">
        <v>739</v>
      </c>
    </row>
    <row r="68" spans="1:3" x14ac:dyDescent="0.2">
      <c r="A68" s="8">
        <v>66</v>
      </c>
      <c r="B68" s="250" t="s">
        <v>679</v>
      </c>
      <c r="C68" s="250" t="s">
        <v>788</v>
      </c>
    </row>
    <row r="69" spans="1:3" x14ac:dyDescent="0.2">
      <c r="A69" s="8">
        <v>67</v>
      </c>
      <c r="B69" s="250" t="s">
        <v>680</v>
      </c>
      <c r="C69" s="250" t="s">
        <v>773</v>
      </c>
    </row>
  </sheetData>
  <mergeCells count="1">
    <mergeCell ref="A1:D1"/>
  </mergeCells>
  <hyperlinks>
    <hyperlink ref="B3:C3" location="'AT-1-Gen_Info '!A1" display="AT- 1" xr:uid="{00000000-0004-0000-0200-000000000000}"/>
    <hyperlink ref="B4:C4" location="'AT-2-S1 BUDGET'!A1" display="AT - 2" xr:uid="{00000000-0004-0000-0200-000001000000}"/>
    <hyperlink ref="B5:C5" location="AT_2A_fundflow!A1" display="AT - 2 A" xr:uid="{00000000-0004-0000-0200-000002000000}"/>
    <hyperlink ref="B6:C6" location="'AT-2B_DBT'!A1" display="AT - 2 B" xr:uid="{00000000-0004-0000-0200-000003000000}"/>
    <hyperlink ref="B7:C7" location="'AT-3'!A1" display="AT - 3" xr:uid="{00000000-0004-0000-0200-000004000000}"/>
    <hyperlink ref="B8:C8" location="'AT3A_cvrg(Insti)_PY'!A1" display="AT- 3 A" xr:uid="{00000000-0004-0000-0200-000005000000}"/>
    <hyperlink ref="B9:C9" location="'AT3B_cvrg(Insti)_UPY '!A1" display="AT- 3 B" xr:uid="{00000000-0004-0000-0200-000006000000}"/>
    <hyperlink ref="B10:C10" location="'AT3C_cvrg(Insti)_UPY '!A1" display="AT-3 C" xr:uid="{00000000-0004-0000-0200-000007000000}"/>
    <hyperlink ref="B11:C11" location="'AT-4B'!A1" display="AT - 4" xr:uid="{00000000-0004-0000-0200-000008000000}"/>
    <hyperlink ref="B12:C12" location="'enrolment vs availed_UPY'!A1" display="AT - 4 A" xr:uid="{00000000-0004-0000-0200-000009000000}"/>
    <hyperlink ref="B13:C13" location="'AT-4B'!A1" display="AT - 4 B" xr:uid="{00000000-0004-0000-0200-00000A000000}"/>
    <hyperlink ref="B14:C14" location="T5_PLAN_vs_PRFM!A1" display="AT - 5" xr:uid="{00000000-0004-0000-0200-00000B000000}"/>
    <hyperlink ref="B15:C15" location="'T5A_PLAN_vs_PRFM '!A1" display="AT - 5 A" xr:uid="{00000000-0004-0000-0200-00000C000000}"/>
    <hyperlink ref="B16:C16" location="'T5B_PLAN_vs_PRFM  (2)'!A1" display="AT - 5 B" xr:uid="{00000000-0004-0000-0200-00000D000000}"/>
    <hyperlink ref="B17:C17" location="'T5C_Drought_PLAN_vs_PRFM '!A1" display="AT - 5 C" xr:uid="{00000000-0004-0000-0200-00000E000000}"/>
    <hyperlink ref="B18:C18" location="'T5D_Drought_PLAN_vs_PRFM  '!A1" display="AT - 5 D" xr:uid="{00000000-0004-0000-0200-00000F000000}"/>
    <hyperlink ref="B19:C19" location="T6_FG_py_Utlsn!A1" display="AT - 6" xr:uid="{00000000-0004-0000-0200-000010000000}"/>
    <hyperlink ref="B20:C20" location="'T6A_FG_Upy_Utlsn '!A1" display="AT - 6 A" xr:uid="{00000000-0004-0000-0200-000011000000}"/>
    <hyperlink ref="B21:C21" location="T6B_Pay_FG_FCI_Pry!A1" display="AT - 6 B" xr:uid="{00000000-0004-0000-0200-000012000000}"/>
    <hyperlink ref="B22:C22" location="T6C_Coarse_Grain!A1" display="AT - 6 C" xr:uid="{00000000-0004-0000-0200-000013000000}"/>
    <hyperlink ref="B23:C23" location="T7_CC_PY_Utlsn!A1" display="AT - 7" xr:uid="{00000000-0004-0000-0200-000014000000}"/>
    <hyperlink ref="B24:C24" location="'T7ACC_UPY_Utlsn '!A1" display="AT - 7 A" xr:uid="{00000000-0004-0000-0200-000015000000}"/>
    <hyperlink ref="B25:C25" location="'AT-8_Hon_CCH_Pry'!A1" display="AT - 8" xr:uid="{00000000-0004-0000-0200-000016000000}"/>
    <hyperlink ref="B26:C26" location="'AT-8A_Hon_CCH_UPry'!A1" display="AT - 8 A" xr:uid="{00000000-0004-0000-0200-000017000000}"/>
    <hyperlink ref="B27:C27" location="AT9_TA!A1" display="AT - 9" xr:uid="{00000000-0004-0000-0200-000018000000}"/>
    <hyperlink ref="B28:C28" location="AT10_MME!A1" display="AT - 10" xr:uid="{00000000-0004-0000-0200-000019000000}"/>
    <hyperlink ref="B29:C29" location="AT10A_!A1" display="AT - 10 A" xr:uid="{00000000-0004-0000-0200-00001A000000}"/>
    <hyperlink ref="B30:C30" location="'AT-10 B'!A1" display="AT - 10 B" xr:uid="{00000000-0004-0000-0200-00001B000000}"/>
    <hyperlink ref="B31:C31" location="'AT-10 C'!A1" display="AT - 10 C" xr:uid="{00000000-0004-0000-0200-00001C000000}"/>
    <hyperlink ref="B32:C32" location="'AT-10D'!A1" display="AT - 10 D" xr:uid="{00000000-0004-0000-0200-00001D000000}"/>
    <hyperlink ref="B33:C33" location="'AT-10 E'!A1" display="AT - 10 E " xr:uid="{00000000-0004-0000-0200-00001E000000}"/>
    <hyperlink ref="B34:C34" location="'AT-10 F'!A1" display="AT - 10 F" xr:uid="{00000000-0004-0000-0200-00001F000000}"/>
    <hyperlink ref="B35:C35" location="'AT11_KS Year wise'!A1" display="AT - 11" xr:uid="{00000000-0004-0000-0200-000020000000}"/>
    <hyperlink ref="B36:C36" location="'AT11A_KS-District wise'!A1" display="AT - 11 A" xr:uid="{00000000-0004-0000-0200-000021000000}"/>
    <hyperlink ref="B37:C37" location="'AT12_KD-New'!A1" display="AT - 12" xr:uid="{00000000-0004-0000-0200-000022000000}"/>
    <hyperlink ref="B38:C38" location="'AT12A_KD-Replacement'!A1" display="AT - 12 A" xr:uid="{00000000-0004-0000-0200-000023000000}"/>
    <hyperlink ref="B39:C39" location="'Mode of cooking'!A1" display="AT - 13" xr:uid="{00000000-0004-0000-0200-000024000000}"/>
    <hyperlink ref="B40:C40" location="'AT-14'!A1" display="AT - 14" xr:uid="{00000000-0004-0000-0200-000025000000}"/>
    <hyperlink ref="B41:C41" location="'AT-14 A'!A1" display="AT - 14 A" xr:uid="{00000000-0004-0000-0200-000026000000}"/>
    <hyperlink ref="C42" location="'AT-15'!A1" display="Contribution by community in form of  Tithi Bhojan or any other similar practice" xr:uid="{00000000-0004-0000-0200-000027000000}"/>
    <hyperlink ref="B42" location="'AT-15'!A1" display="AT - 15" xr:uid="{00000000-0004-0000-0200-000028000000}"/>
    <hyperlink ref="B43:C43" location="'AT-16'!A1" display="AT - 16" xr:uid="{00000000-0004-0000-0200-000029000000}"/>
    <hyperlink ref="B44:C44" location="'AT_17_Coverage-RBSK '!A1" display="AT - 17" xr:uid="{00000000-0004-0000-0200-00002A000000}"/>
    <hyperlink ref="B45:C45" location="'AT18_Details_Community '!A1" display="AT - 18" xr:uid="{00000000-0004-0000-0200-00002B000000}"/>
    <hyperlink ref="C46" location="AT_19_Impl_Agency!A1" display="Responsibility of Implementation" xr:uid="{00000000-0004-0000-0200-00002C000000}"/>
    <hyperlink ref="B46" location="AT_19_Impl_Agency!A1" display="AT - 19" xr:uid="{00000000-0004-0000-0200-00002D000000}"/>
    <hyperlink ref="B47:C47" location="'AT_20_CentralCookingagency '!A1" display="AT - 20" xr:uid="{00000000-0004-0000-0200-00002E000000}"/>
    <hyperlink ref="B48:C48" location="'AT-21'!A1" display="AT - 21" xr:uid="{00000000-0004-0000-0200-00002F000000}"/>
    <hyperlink ref="B49:C49" location="'AT-22'!A1" display="AT - 22" xr:uid="{00000000-0004-0000-0200-000030000000}"/>
    <hyperlink ref="B50:C50" location="'AT-23 MIS'!A1" display="AT - 23" xr:uid="{00000000-0004-0000-0200-000031000000}"/>
    <hyperlink ref="B51:C51" location="'AT-23A _AMS'!A1" display="AT - 23 A" xr:uid="{00000000-0004-0000-0200-000032000000}"/>
    <hyperlink ref="B52:C52" location="'AT-24'!A1" display="AT - 24" xr:uid="{00000000-0004-0000-0200-000033000000}"/>
    <hyperlink ref="B53:C53" location="'AT-25'!A1" display="AT - 25" xr:uid="{00000000-0004-0000-0200-000034000000}"/>
    <hyperlink ref="B54:C54" location="AT26_NoWD!A1" display="AT - 26" xr:uid="{00000000-0004-0000-0200-000035000000}"/>
    <hyperlink ref="B55:C55" location="AT26A_NoWD!A1" display="AT - 26 A" xr:uid="{00000000-0004-0000-0200-000036000000}"/>
    <hyperlink ref="B56:C56" location="AT27_Req_FG_CA_Pry!A1" display="AT - 27" xr:uid="{00000000-0004-0000-0200-000037000000}"/>
    <hyperlink ref="B57:C57" location="'AT27A_Req_FG_CA_U Pry '!A1" display="AT - 27 A" xr:uid="{00000000-0004-0000-0200-000038000000}"/>
    <hyperlink ref="B58:C58" location="'AT27B_Req_FG_CA_N CLP'!A1" display="AT - 27 B" xr:uid="{00000000-0004-0000-0200-000039000000}"/>
    <hyperlink ref="B59:C59" location="'AT27C_Req_FG_Drought -Pry '!A1" display="AT - 27 C" xr:uid="{00000000-0004-0000-0200-00003A000000}"/>
    <hyperlink ref="B60:C60" location="'AT27D_Req_FG_Drought -UPry '!A1" display="AT - 27 D" xr:uid="{00000000-0004-0000-0200-00003B000000}"/>
    <hyperlink ref="B61:C61" location="AT_28_RqmtKitchen!A1" display="AT - 28" xr:uid="{00000000-0004-0000-0200-00003C000000}"/>
    <hyperlink ref="B62:C62" location="'AT-28A_RqmtPlinthArea'!A1" display="AT - 28 A" xr:uid="{00000000-0004-0000-0200-00003D000000}"/>
    <hyperlink ref="B63:C63" location="'AT-28B_Kitchen repair'!A1" display="AT - 28 B" xr:uid="{00000000-0004-0000-0200-00003E000000}"/>
    <hyperlink ref="B64:C64" location="'AT29_Replacement KD '!A1" display="AT - 29" xr:uid="{00000000-0004-0000-0200-00003F000000}"/>
    <hyperlink ref="B65:C65" location="'AT29_A_Replacement KD'!A1" display="AT- 29 A" xr:uid="{00000000-0004-0000-0200-000040000000}"/>
    <hyperlink ref="B66:C66" location="'AT-30_Coook-cum-Helper'!A1" display="AT - 30" xr:uid="{00000000-0004-0000-0200-000041000000}"/>
    <hyperlink ref="B67:C67" location="'AT_31_Budget_provision '!A1" display="AT - 31" xr:uid="{00000000-0004-0000-0200-000042000000}"/>
    <hyperlink ref="B68:C68" location="'AT32_Drought Pry Util'!A1" display="AT - 32" xr:uid="{00000000-0004-0000-0200-000043000000}"/>
    <hyperlink ref="B69:C69" location="'AT-32A Drought UPry Util'!A1" display="AT - 32 A" xr:uid="{00000000-0004-0000-0200-000044000000}"/>
  </hyperlinks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54"/>
  <sheetViews>
    <sheetView topLeftCell="D8" zoomScale="110" zoomScaleNormal="110" zoomScaleSheetLayoutView="90" workbookViewId="0">
      <selection activeCell="U9" sqref="U9"/>
    </sheetView>
  </sheetViews>
  <sheetFormatPr defaultColWidth="9.140625" defaultRowHeight="12.75" x14ac:dyDescent="0.2"/>
  <cols>
    <col min="1" max="1" width="6.7109375" style="15" customWidth="1"/>
    <col min="2" max="2" width="15.42578125" style="15" bestFit="1" customWidth="1"/>
    <col min="3" max="4" width="12" style="15" customWidth="1"/>
    <col min="5" max="5" width="12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3" width="9.140625" style="15"/>
    <col min="14" max="14" width="9.5703125" style="15" bestFit="1" customWidth="1"/>
    <col min="15" max="16384" width="9.140625" style="15"/>
  </cols>
  <sheetData>
    <row r="1" spans="1:18" customFormat="1" ht="15" x14ac:dyDescent="0.2">
      <c r="D1" s="33"/>
      <c r="E1" s="33"/>
      <c r="F1" s="33"/>
      <c r="G1" s="33"/>
      <c r="H1" s="33"/>
      <c r="I1" s="33"/>
      <c r="J1" s="33"/>
      <c r="K1" s="33"/>
      <c r="L1" s="940" t="s">
        <v>63</v>
      </c>
      <c r="M1" s="940"/>
      <c r="N1" s="40"/>
      <c r="O1" s="40"/>
    </row>
    <row r="2" spans="1:18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42"/>
      <c r="N2" s="42"/>
      <c r="O2" s="42"/>
    </row>
    <row r="3" spans="1:18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41"/>
      <c r="N3" s="41"/>
      <c r="O3" s="41"/>
    </row>
    <row r="4" spans="1:18" customFormat="1" ht="10.5" customHeight="1" x14ac:dyDescent="0.2"/>
    <row r="5" spans="1:18" ht="19.5" customHeight="1" x14ac:dyDescent="0.25">
      <c r="A5" s="931" t="s">
        <v>805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</row>
    <row r="6" spans="1:1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x14ac:dyDescent="0.2">
      <c r="A7" s="820" t="s">
        <v>920</v>
      </c>
      <c r="B7" s="820"/>
      <c r="F7" s="941" t="s">
        <v>20</v>
      </c>
      <c r="G7" s="941"/>
      <c r="H7" s="941"/>
      <c r="I7" s="941"/>
      <c r="J7" s="941"/>
      <c r="K7" s="941"/>
      <c r="L7" s="941"/>
    </row>
    <row r="8" spans="1:18" x14ac:dyDescent="0.2">
      <c r="A8" s="14"/>
      <c r="F8" s="16"/>
      <c r="G8" s="92"/>
      <c r="H8" s="92"/>
      <c r="I8" s="921" t="s">
        <v>830</v>
      </c>
      <c r="J8" s="921"/>
      <c r="K8" s="921"/>
      <c r="L8" s="921"/>
    </row>
    <row r="9" spans="1:18" s="14" customFormat="1" x14ac:dyDescent="0.2">
      <c r="A9" s="834" t="s">
        <v>2</v>
      </c>
      <c r="B9" s="834" t="s">
        <v>3</v>
      </c>
      <c r="C9" s="834" t="s">
        <v>21</v>
      </c>
      <c r="D9" s="834"/>
      <c r="E9" s="834"/>
      <c r="F9" s="834"/>
      <c r="G9" s="834"/>
      <c r="H9" s="834" t="s">
        <v>42</v>
      </c>
      <c r="I9" s="834"/>
      <c r="J9" s="834"/>
      <c r="K9" s="834"/>
      <c r="L9" s="834"/>
      <c r="Q9" s="27"/>
      <c r="R9" s="28"/>
    </row>
    <row r="10" spans="1:18" s="14" customFormat="1" ht="77.45" customHeight="1" x14ac:dyDescent="0.2">
      <c r="A10" s="834"/>
      <c r="B10" s="834"/>
      <c r="C10" s="5" t="s">
        <v>849</v>
      </c>
      <c r="D10" s="5" t="s">
        <v>822</v>
      </c>
      <c r="E10" s="5" t="s">
        <v>70</v>
      </c>
      <c r="F10" s="5" t="s">
        <v>71</v>
      </c>
      <c r="G10" s="5" t="s">
        <v>654</v>
      </c>
      <c r="H10" s="5" t="s">
        <v>849</v>
      </c>
      <c r="I10" s="5" t="s">
        <v>822</v>
      </c>
      <c r="J10" s="5" t="s">
        <v>70</v>
      </c>
      <c r="K10" s="5" t="s">
        <v>71</v>
      </c>
      <c r="L10" s="5" t="s">
        <v>655</v>
      </c>
    </row>
    <row r="11" spans="1:18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">
      <c r="A12" s="17">
        <v>1</v>
      </c>
      <c r="B12" s="176" t="s">
        <v>896</v>
      </c>
      <c r="C12" s="312">
        <f>T5_PLAN_vs_PRFM!D12*0.0001*254+'T5B_PLAN_vs_PRFM  (2)'!D12*312*0.00015</f>
        <v>3734.9270000000001</v>
      </c>
      <c r="D12" s="312">
        <v>351.41249999999991</v>
      </c>
      <c r="E12" s="312">
        <v>2031.1129999999998</v>
      </c>
      <c r="F12" s="312">
        <v>1910.7950000000001</v>
      </c>
      <c r="G12" s="312">
        <f>D12+E12-F12</f>
        <v>471.73049999999967</v>
      </c>
      <c r="H12" s="313"/>
      <c r="I12" s="313"/>
      <c r="J12" s="313"/>
      <c r="K12" s="312"/>
      <c r="L12" s="313"/>
      <c r="M12" s="534"/>
      <c r="N12" s="534"/>
    </row>
    <row r="13" spans="1:18" x14ac:dyDescent="0.2">
      <c r="A13" s="17">
        <v>2</v>
      </c>
      <c r="B13" s="176" t="s">
        <v>897</v>
      </c>
      <c r="C13" s="312">
        <f>T5_PLAN_vs_PRFM!D13*0.0001*254+'T5B_PLAN_vs_PRFM  (2)'!D13*312*0.00015</f>
        <v>1247.6988000000001</v>
      </c>
      <c r="D13" s="312">
        <v>292.65060000000005</v>
      </c>
      <c r="E13" s="312">
        <v>702.14</v>
      </c>
      <c r="F13" s="312">
        <v>691.02700000000004</v>
      </c>
      <c r="G13" s="312">
        <f t="shared" ref="G13:G35" si="0">D13+E13-F13</f>
        <v>303.7636</v>
      </c>
      <c r="H13" s="313"/>
      <c r="I13" s="313"/>
      <c r="J13" s="313"/>
      <c r="K13" s="312"/>
      <c r="L13" s="313"/>
      <c r="M13" s="534"/>
      <c r="N13" s="534"/>
    </row>
    <row r="14" spans="1:18" x14ac:dyDescent="0.2">
      <c r="A14" s="17">
        <v>3</v>
      </c>
      <c r="B14" s="176" t="s">
        <v>898</v>
      </c>
      <c r="C14" s="312">
        <f>T5_PLAN_vs_PRFM!D14*0.0001*254+'T5B_PLAN_vs_PRFM  (2)'!D14*312*0.00015</f>
        <v>978.96680000000003</v>
      </c>
      <c r="D14" s="312">
        <v>158.48900000000015</v>
      </c>
      <c r="E14" s="312">
        <v>529.27</v>
      </c>
      <c r="F14" s="312">
        <v>500.73700000000002</v>
      </c>
      <c r="G14" s="312">
        <f t="shared" si="0"/>
        <v>187.02200000000011</v>
      </c>
      <c r="H14" s="313"/>
      <c r="I14" s="313"/>
      <c r="J14" s="313"/>
      <c r="K14" s="312"/>
      <c r="L14" s="313"/>
      <c r="M14" s="534"/>
      <c r="N14" s="534"/>
    </row>
    <row r="15" spans="1:18" x14ac:dyDescent="0.2">
      <c r="A15" s="17">
        <v>4</v>
      </c>
      <c r="B15" s="176" t="s">
        <v>899</v>
      </c>
      <c r="C15" s="312">
        <f>T5_PLAN_vs_PRFM!D15*0.0001*254+'T5B_PLAN_vs_PRFM  (2)'!D15*312*0.00015</f>
        <v>2894.8126000000002</v>
      </c>
      <c r="D15" s="312">
        <v>299.3726999999999</v>
      </c>
      <c r="E15" s="312">
        <v>1521.6599999999999</v>
      </c>
      <c r="F15" s="312">
        <v>1491.4280000000001</v>
      </c>
      <c r="G15" s="312">
        <f t="shared" si="0"/>
        <v>329.60469999999964</v>
      </c>
      <c r="H15" s="313"/>
      <c r="I15" s="313"/>
      <c r="J15" s="313"/>
      <c r="K15" s="312"/>
      <c r="L15" s="313"/>
      <c r="M15" s="534"/>
      <c r="N15" s="534"/>
    </row>
    <row r="16" spans="1:18" x14ac:dyDescent="0.2">
      <c r="A16" s="17">
        <v>5</v>
      </c>
      <c r="B16" s="176" t="s">
        <v>900</v>
      </c>
      <c r="C16" s="312">
        <f>T5_PLAN_vs_PRFM!D16*0.0001*254+'T5B_PLAN_vs_PRFM  (2)'!D16*312*0.00015</f>
        <v>1503.9086000000002</v>
      </c>
      <c r="D16" s="312">
        <v>182.98389999999995</v>
      </c>
      <c r="E16" s="312">
        <v>892.70999999999992</v>
      </c>
      <c r="F16" s="312">
        <v>784.19899999999996</v>
      </c>
      <c r="G16" s="312">
        <f t="shared" si="0"/>
        <v>291.4948999999998</v>
      </c>
      <c r="H16" s="313"/>
      <c r="I16" s="313"/>
      <c r="J16" s="313"/>
      <c r="K16" s="312"/>
      <c r="L16" s="313"/>
      <c r="M16" s="534"/>
      <c r="N16" s="534"/>
    </row>
    <row r="17" spans="1:14" x14ac:dyDescent="0.2">
      <c r="A17" s="17">
        <v>6</v>
      </c>
      <c r="B17" s="176" t="s">
        <v>901</v>
      </c>
      <c r="C17" s="312">
        <f>T5_PLAN_vs_PRFM!D17*0.0001*254+'T5B_PLAN_vs_PRFM  (2)'!D17*312*0.00015</f>
        <v>2574.4931999999999</v>
      </c>
      <c r="D17" s="312">
        <v>142.10200000000009</v>
      </c>
      <c r="E17" s="312">
        <v>1673.1599999999999</v>
      </c>
      <c r="F17" s="312">
        <v>1335.7719999999999</v>
      </c>
      <c r="G17" s="312">
        <f t="shared" si="0"/>
        <v>479.49</v>
      </c>
      <c r="H17" s="313"/>
      <c r="I17" s="313"/>
      <c r="J17" s="313"/>
      <c r="K17" s="312"/>
      <c r="L17" s="313"/>
      <c r="M17" s="534"/>
      <c r="N17" s="534"/>
    </row>
    <row r="18" spans="1:14" x14ac:dyDescent="0.2">
      <c r="A18" s="17">
        <v>7</v>
      </c>
      <c r="B18" s="176" t="s">
        <v>902</v>
      </c>
      <c r="C18" s="312">
        <f>T5_PLAN_vs_PRFM!D18*0.0001*254+'T5B_PLAN_vs_PRFM  (2)'!D18*312*0.00015</f>
        <v>1678.7622000000001</v>
      </c>
      <c r="D18" s="312">
        <v>286.3433</v>
      </c>
      <c r="E18" s="312">
        <v>752.09999999999991</v>
      </c>
      <c r="F18" s="312">
        <v>901.36099999999999</v>
      </c>
      <c r="G18" s="312">
        <f t="shared" si="0"/>
        <v>137.08229999999992</v>
      </c>
      <c r="H18" s="313"/>
      <c r="I18" s="313"/>
      <c r="J18" s="313"/>
      <c r="K18" s="312"/>
      <c r="L18" s="313"/>
      <c r="M18" s="534"/>
      <c r="N18" s="534"/>
    </row>
    <row r="19" spans="1:14" x14ac:dyDescent="0.2">
      <c r="A19" s="17">
        <v>8</v>
      </c>
      <c r="B19" s="176" t="s">
        <v>903</v>
      </c>
      <c r="C19" s="312">
        <f>T5_PLAN_vs_PRFM!D19*0.0001*254+'T5B_PLAN_vs_PRFM  (2)'!D19*312*0.00015</f>
        <v>3666.9789999999998</v>
      </c>
      <c r="D19" s="312">
        <v>528.02320000000009</v>
      </c>
      <c r="E19" s="312">
        <v>2183.4740000000002</v>
      </c>
      <c r="F19" s="312">
        <v>2146.3850000000002</v>
      </c>
      <c r="G19" s="312">
        <f t="shared" si="0"/>
        <v>565.11220000000003</v>
      </c>
      <c r="H19" s="314"/>
      <c r="I19" s="314"/>
      <c r="J19" s="314"/>
      <c r="K19" s="535"/>
      <c r="L19" s="313"/>
      <c r="M19" s="534"/>
      <c r="N19" s="534"/>
    </row>
    <row r="20" spans="1:14" x14ac:dyDescent="0.2">
      <c r="A20" s="17">
        <v>9</v>
      </c>
      <c r="B20" s="176" t="s">
        <v>904</v>
      </c>
      <c r="C20" s="312">
        <f>T5_PLAN_vs_PRFM!D20*0.0001*254+'T5B_PLAN_vs_PRFM  (2)'!D20*312*0.00015</f>
        <v>4754.0163999999995</v>
      </c>
      <c r="D20" s="312">
        <v>336.78099999999904</v>
      </c>
      <c r="E20" s="312">
        <v>2961.29</v>
      </c>
      <c r="F20" s="312">
        <v>2902.114</v>
      </c>
      <c r="G20" s="312">
        <f t="shared" si="0"/>
        <v>395.95699999999897</v>
      </c>
      <c r="H20" s="314"/>
      <c r="I20" s="314"/>
      <c r="J20" s="314"/>
      <c r="K20" s="535"/>
      <c r="L20" s="313"/>
      <c r="M20" s="534"/>
      <c r="N20" s="534"/>
    </row>
    <row r="21" spans="1:14" x14ac:dyDescent="0.2">
      <c r="A21" s="17">
        <v>10</v>
      </c>
      <c r="B21" s="176" t="s">
        <v>905</v>
      </c>
      <c r="C21" s="312">
        <f>T5_PLAN_vs_PRFM!D21*0.0001*254+'T5B_PLAN_vs_PRFM  (2)'!D21*312*0.00015</f>
        <v>1713.0014000000001</v>
      </c>
      <c r="D21" s="312">
        <v>318.65639999999985</v>
      </c>
      <c r="E21" s="312">
        <v>1116.19</v>
      </c>
      <c r="F21" s="312">
        <v>952.57399999999996</v>
      </c>
      <c r="G21" s="312">
        <f t="shared" si="0"/>
        <v>482.27239999999995</v>
      </c>
      <c r="H21" s="314"/>
      <c r="I21" s="314"/>
      <c r="J21" s="314"/>
      <c r="K21" s="535"/>
      <c r="L21" s="313"/>
      <c r="M21" s="534"/>
      <c r="N21" s="534"/>
    </row>
    <row r="22" spans="1:14" x14ac:dyDescent="0.2">
      <c r="A22" s="17">
        <v>11</v>
      </c>
      <c r="B22" s="176" t="s">
        <v>906</v>
      </c>
      <c r="C22" s="312">
        <f>T5_PLAN_vs_PRFM!D22*0.0001*254+'T5B_PLAN_vs_PRFM  (2)'!D22*312*0.00015</f>
        <v>2787.9398000000001</v>
      </c>
      <c r="D22" s="312">
        <v>606.19810000000007</v>
      </c>
      <c r="E22" s="312">
        <v>1302.6655000000001</v>
      </c>
      <c r="F22" s="312">
        <v>1576.9090000000001</v>
      </c>
      <c r="G22" s="312">
        <f t="shared" si="0"/>
        <v>331.95460000000003</v>
      </c>
      <c r="H22" s="314"/>
      <c r="I22" s="314"/>
      <c r="J22" s="314"/>
      <c r="K22" s="535"/>
      <c r="L22" s="313"/>
      <c r="M22" s="534"/>
      <c r="N22" s="534"/>
    </row>
    <row r="23" spans="1:14" x14ac:dyDescent="0.2">
      <c r="A23" s="17">
        <v>12</v>
      </c>
      <c r="B23" s="269" t="s">
        <v>907</v>
      </c>
      <c r="C23" s="312">
        <f>T5_PLAN_vs_PRFM!D23*0.0001*254+'T5B_PLAN_vs_PRFM  (2)'!D23*312*0.00015</f>
        <v>2802.1444000000001</v>
      </c>
      <c r="D23" s="312">
        <v>406.27600000000029</v>
      </c>
      <c r="E23" s="312">
        <v>1766.3164000000002</v>
      </c>
      <c r="F23" s="312">
        <v>1428.4760000000001</v>
      </c>
      <c r="G23" s="312">
        <f t="shared" si="0"/>
        <v>744.11640000000034</v>
      </c>
      <c r="H23" s="314"/>
      <c r="I23" s="314"/>
      <c r="J23" s="314"/>
      <c r="K23" s="535"/>
      <c r="L23" s="313"/>
      <c r="M23" s="534"/>
      <c r="N23" s="534"/>
    </row>
    <row r="24" spans="1:14" x14ac:dyDescent="0.2">
      <c r="A24" s="17">
        <v>13</v>
      </c>
      <c r="B24" s="176" t="s">
        <v>908</v>
      </c>
      <c r="C24" s="312">
        <f>T5_PLAN_vs_PRFM!D24*0.0001*254+'T5B_PLAN_vs_PRFM  (2)'!D24*312*0.00015</f>
        <v>1180.3126000000002</v>
      </c>
      <c r="D24" s="312">
        <v>166.7600000000001</v>
      </c>
      <c r="E24" s="312">
        <v>512.72</v>
      </c>
      <c r="F24" s="312">
        <v>579.33100000000002</v>
      </c>
      <c r="G24" s="312">
        <f t="shared" si="0"/>
        <v>100.14900000000011</v>
      </c>
      <c r="H24" s="314"/>
      <c r="I24" s="314"/>
      <c r="J24" s="314"/>
      <c r="K24" s="535"/>
      <c r="L24" s="313"/>
      <c r="M24" s="534"/>
      <c r="N24" s="534"/>
    </row>
    <row r="25" spans="1:14" x14ac:dyDescent="0.2">
      <c r="A25" s="17">
        <v>14</v>
      </c>
      <c r="B25" s="176" t="s">
        <v>909</v>
      </c>
      <c r="C25" s="312">
        <f>T5_PLAN_vs_PRFM!D25*0.0001*254+'T5B_PLAN_vs_PRFM  (2)'!D25*312*0.00015</f>
        <v>1277.1120000000001</v>
      </c>
      <c r="D25" s="312">
        <v>643.39449999999999</v>
      </c>
      <c r="E25" s="312">
        <v>612.21800000000007</v>
      </c>
      <c r="F25" s="312">
        <v>675.55399999999997</v>
      </c>
      <c r="G25" s="312">
        <f t="shared" si="0"/>
        <v>580.05850000000021</v>
      </c>
      <c r="H25" s="314"/>
      <c r="I25" s="314"/>
      <c r="J25" s="314"/>
      <c r="K25" s="535"/>
      <c r="L25" s="313"/>
      <c r="M25" s="534"/>
      <c r="N25" s="534"/>
    </row>
    <row r="26" spans="1:14" x14ac:dyDescent="0.2">
      <c r="A26" s="17">
        <v>15</v>
      </c>
      <c r="B26" s="176" t="s">
        <v>910</v>
      </c>
      <c r="C26" s="312">
        <f>T5_PLAN_vs_PRFM!D26*0.0001*254+'T5B_PLAN_vs_PRFM  (2)'!D26*312*0.00015</f>
        <v>2750.0072</v>
      </c>
      <c r="D26" s="312">
        <v>525.65779999999995</v>
      </c>
      <c r="E26" s="312">
        <v>1465.62</v>
      </c>
      <c r="F26" s="312">
        <v>1512.2929999999999</v>
      </c>
      <c r="G26" s="312">
        <f t="shared" si="0"/>
        <v>478.98479999999995</v>
      </c>
      <c r="H26" s="314"/>
      <c r="I26" s="314"/>
      <c r="J26" s="314"/>
      <c r="K26" s="535"/>
      <c r="L26" s="313"/>
      <c r="M26" s="534"/>
      <c r="N26" s="534"/>
    </row>
    <row r="27" spans="1:14" x14ac:dyDescent="0.2">
      <c r="A27" s="17">
        <v>16</v>
      </c>
      <c r="B27" s="176" t="s">
        <v>911</v>
      </c>
      <c r="C27" s="312">
        <f>T5_PLAN_vs_PRFM!D27*0.0001*254+'T5B_PLAN_vs_PRFM  (2)'!D27*312*0.00015</f>
        <v>4200.1186000000007</v>
      </c>
      <c r="D27" s="312">
        <v>1096.1731000000004</v>
      </c>
      <c r="E27" s="312">
        <v>2179.5100000000002</v>
      </c>
      <c r="F27" s="312">
        <v>2602.0419999999999</v>
      </c>
      <c r="G27" s="312">
        <f t="shared" si="0"/>
        <v>673.64110000000073</v>
      </c>
      <c r="H27" s="314"/>
      <c r="I27" s="314"/>
      <c r="J27" s="314"/>
      <c r="K27" s="535"/>
      <c r="L27" s="313"/>
      <c r="M27" s="534"/>
      <c r="N27" s="534"/>
    </row>
    <row r="28" spans="1:14" x14ac:dyDescent="0.2">
      <c r="A28" s="17">
        <v>17</v>
      </c>
      <c r="B28" s="176" t="s">
        <v>912</v>
      </c>
      <c r="C28" s="312">
        <f>T5_PLAN_vs_PRFM!D28*0.0001*254+'T5B_PLAN_vs_PRFM  (2)'!D28*312*0.00015</f>
        <v>2745.8924000000002</v>
      </c>
      <c r="D28" s="312">
        <v>867.19099999999935</v>
      </c>
      <c r="E28" s="312">
        <v>1130.75</v>
      </c>
      <c r="F28" s="312">
        <v>1435.6669999999999</v>
      </c>
      <c r="G28" s="312">
        <f t="shared" si="0"/>
        <v>562.27399999999943</v>
      </c>
      <c r="H28" s="314"/>
      <c r="I28" s="314"/>
      <c r="J28" s="314"/>
      <c r="K28" s="535"/>
      <c r="L28" s="313"/>
      <c r="M28" s="534"/>
      <c r="N28" s="534"/>
    </row>
    <row r="29" spans="1:14" x14ac:dyDescent="0.2">
      <c r="A29" s="17">
        <v>18</v>
      </c>
      <c r="B29" s="176" t="s">
        <v>913</v>
      </c>
      <c r="C29" s="312">
        <f>T5_PLAN_vs_PRFM!D29*0.0001*254+'T5B_PLAN_vs_PRFM  (2)'!D29*312*0.00015</f>
        <v>2383.4090000000001</v>
      </c>
      <c r="D29" s="312">
        <v>435.49569999999994</v>
      </c>
      <c r="E29" s="312">
        <v>1558.47</v>
      </c>
      <c r="F29" s="312">
        <v>1258.867</v>
      </c>
      <c r="G29" s="312">
        <f t="shared" si="0"/>
        <v>735.09870000000001</v>
      </c>
      <c r="H29" s="314"/>
      <c r="I29" s="314"/>
      <c r="J29" s="314"/>
      <c r="K29" s="535"/>
      <c r="L29" s="313"/>
      <c r="M29" s="534"/>
      <c r="N29" s="534"/>
    </row>
    <row r="30" spans="1:14" x14ac:dyDescent="0.2">
      <c r="A30" s="17">
        <v>19</v>
      </c>
      <c r="B30" s="176" t="s">
        <v>914</v>
      </c>
      <c r="C30" s="312">
        <f>T5_PLAN_vs_PRFM!D30*0.0001*254+'T5B_PLAN_vs_PRFM  (2)'!D30*312*0.00015</f>
        <v>2224.1082000000001</v>
      </c>
      <c r="D30" s="312">
        <v>636.37430000000018</v>
      </c>
      <c r="E30" s="312">
        <v>1112.19</v>
      </c>
      <c r="F30" s="312">
        <v>1481.393</v>
      </c>
      <c r="G30" s="312">
        <f t="shared" si="0"/>
        <v>267.1713000000002</v>
      </c>
      <c r="H30" s="314"/>
      <c r="I30" s="314"/>
      <c r="J30" s="314"/>
      <c r="K30" s="535"/>
      <c r="L30" s="313"/>
      <c r="M30" s="534"/>
      <c r="N30" s="534"/>
    </row>
    <row r="31" spans="1:14" x14ac:dyDescent="0.2">
      <c r="A31" s="17">
        <v>20</v>
      </c>
      <c r="B31" s="176" t="s">
        <v>915</v>
      </c>
      <c r="C31" s="312">
        <f>T5_PLAN_vs_PRFM!D31*0.0001*254+'T5B_PLAN_vs_PRFM  (2)'!D31*312*0.00015</f>
        <v>1581.5056</v>
      </c>
      <c r="D31" s="312">
        <v>219.43669999999997</v>
      </c>
      <c r="E31" s="312">
        <v>602.52700000000004</v>
      </c>
      <c r="F31" s="312">
        <v>821.96400000000006</v>
      </c>
      <c r="G31" s="312">
        <f t="shared" si="0"/>
        <v>-3.0000000003838068E-4</v>
      </c>
      <c r="H31" s="314"/>
      <c r="I31" s="314"/>
      <c r="J31" s="314"/>
      <c r="K31" s="535"/>
      <c r="L31" s="313"/>
      <c r="M31" s="534"/>
      <c r="N31" s="534"/>
    </row>
    <row r="32" spans="1:14" x14ac:dyDescent="0.2">
      <c r="A32" s="17">
        <v>21</v>
      </c>
      <c r="B32" s="176" t="s">
        <v>916</v>
      </c>
      <c r="C32" s="312">
        <f>T5_PLAN_vs_PRFM!D32*0.0001*254+'T5B_PLAN_vs_PRFM  (2)'!D32*312*0.00015</f>
        <v>2179.9236000000001</v>
      </c>
      <c r="D32" s="312">
        <v>668.66279999999983</v>
      </c>
      <c r="E32" s="312">
        <v>1884.29</v>
      </c>
      <c r="F32" s="312">
        <v>1502.712</v>
      </c>
      <c r="G32" s="312">
        <f t="shared" si="0"/>
        <v>1050.2408</v>
      </c>
      <c r="H32" s="314"/>
      <c r="I32" s="314"/>
      <c r="J32" s="314"/>
      <c r="K32" s="535"/>
      <c r="L32" s="313"/>
      <c r="M32" s="534"/>
      <c r="N32" s="534"/>
    </row>
    <row r="33" spans="1:14" x14ac:dyDescent="0.2">
      <c r="A33" s="17">
        <v>22</v>
      </c>
      <c r="B33" s="176" t="s">
        <v>917</v>
      </c>
      <c r="C33" s="312">
        <f>T5_PLAN_vs_PRFM!D33*0.0001*254+'T5B_PLAN_vs_PRFM  (2)'!D33*312*0.00015</f>
        <v>1643.5022000000001</v>
      </c>
      <c r="D33" s="312">
        <v>538.6253999999999</v>
      </c>
      <c r="E33" s="312">
        <v>855.91100000000006</v>
      </c>
      <c r="F33" s="312">
        <v>986.428</v>
      </c>
      <c r="G33" s="312">
        <f t="shared" si="0"/>
        <v>408.10839999999996</v>
      </c>
      <c r="H33" s="314"/>
      <c r="I33" s="314"/>
      <c r="J33" s="314"/>
      <c r="K33" s="535"/>
      <c r="L33" s="313"/>
      <c r="M33" s="534"/>
      <c r="N33" s="534"/>
    </row>
    <row r="34" spans="1:14" x14ac:dyDescent="0.2">
      <c r="A34" s="17">
        <v>23</v>
      </c>
      <c r="B34" s="176" t="s">
        <v>918</v>
      </c>
      <c r="C34" s="312">
        <f>T5_PLAN_vs_PRFM!D34*0.0001*254+'T5B_PLAN_vs_PRFM  (2)'!D34*312*0.00015</f>
        <v>2778.5059999999999</v>
      </c>
      <c r="D34" s="312">
        <v>479.28680000000031</v>
      </c>
      <c r="E34" s="312">
        <v>1615.76</v>
      </c>
      <c r="F34" s="312">
        <v>1673.306</v>
      </c>
      <c r="G34" s="312">
        <f t="shared" si="0"/>
        <v>421.74080000000004</v>
      </c>
      <c r="H34" s="314"/>
      <c r="I34" s="314"/>
      <c r="J34" s="314"/>
      <c r="K34" s="535"/>
      <c r="L34" s="313"/>
      <c r="M34" s="534"/>
      <c r="N34" s="534"/>
    </row>
    <row r="35" spans="1:14" x14ac:dyDescent="0.2">
      <c r="A35" s="17">
        <v>24</v>
      </c>
      <c r="B35" s="18" t="s">
        <v>919</v>
      </c>
      <c r="C35" s="312">
        <f>T5_PLAN_vs_PRFM!D35*0.0001*254+'T5B_PLAN_vs_PRFM  (2)'!D35*312*0.00015</f>
        <v>3164.5351999999998</v>
      </c>
      <c r="D35" s="312">
        <v>-12.544300000000021</v>
      </c>
      <c r="E35" s="312">
        <v>1680.8219999999999</v>
      </c>
      <c r="F35" s="312">
        <v>1668.278</v>
      </c>
      <c r="G35" s="312">
        <f t="shared" si="0"/>
        <v>-3.0000000015206751E-4</v>
      </c>
      <c r="H35" s="314"/>
      <c r="I35" s="314"/>
      <c r="J35" s="314"/>
      <c r="K35" s="535"/>
      <c r="L35" s="313"/>
      <c r="M35" s="534"/>
      <c r="N35" s="534"/>
    </row>
    <row r="36" spans="1:14" s="14" customFormat="1" x14ac:dyDescent="0.2">
      <c r="A36" s="798" t="s">
        <v>18</v>
      </c>
      <c r="B36" s="800"/>
      <c r="C36" s="316">
        <f t="shared" ref="C36:L36" si="1">SUM(C12:C35)</f>
        <v>58446.582800000004</v>
      </c>
      <c r="D36" s="316">
        <f t="shared" si="1"/>
        <v>10173.802499999998</v>
      </c>
      <c r="E36" s="316">
        <f t="shared" si="1"/>
        <v>32642.876899999999</v>
      </c>
      <c r="F36" s="316">
        <f t="shared" si="1"/>
        <v>32819.612000000001</v>
      </c>
      <c r="G36" s="316">
        <f t="shared" si="1"/>
        <v>9997.0673999999981</v>
      </c>
      <c r="H36" s="316">
        <f t="shared" si="1"/>
        <v>0</v>
      </c>
      <c r="I36" s="316">
        <f t="shared" si="1"/>
        <v>0</v>
      </c>
      <c r="J36" s="316">
        <f t="shared" si="1"/>
        <v>0</v>
      </c>
      <c r="K36" s="316">
        <f t="shared" si="1"/>
        <v>0</v>
      </c>
      <c r="L36" s="316">
        <f t="shared" si="1"/>
        <v>0</v>
      </c>
      <c r="N36" s="384"/>
    </row>
    <row r="37" spans="1:14" x14ac:dyDescent="0.2">
      <c r="A37" s="19" t="s">
        <v>656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customHeight="1" x14ac:dyDescent="0.2">
      <c r="A38" s="14"/>
      <c r="B38" s="14"/>
      <c r="C38" s="14">
        <f>'T6A_FG_Upy_Utlsn '!C36</f>
        <v>37987.5288</v>
      </c>
      <c r="D38" s="14">
        <f>'T6A_FG_Upy_Utlsn '!D36</f>
        <v>4616.15895</v>
      </c>
      <c r="E38" s="384">
        <f>'T6A_FG_Upy_Utlsn '!E36</f>
        <v>23000.939950000004</v>
      </c>
      <c r="F38" s="14">
        <f>'T6A_FG_Upy_Utlsn '!F36</f>
        <v>23305.385000000002</v>
      </c>
      <c r="G38" s="14">
        <f>'T6A_FG_Upy_Utlsn '!G36</f>
        <v>4311.7138999999997</v>
      </c>
      <c r="H38" s="14">
        <f>'T6A_FG_Upy_Utlsn '!H36</f>
        <v>0</v>
      </c>
      <c r="I38" s="14"/>
      <c r="J38" s="14"/>
      <c r="K38" s="14"/>
      <c r="L38" s="14"/>
    </row>
    <row r="39" spans="1:14" s="731" customFormat="1" ht="15.75" customHeight="1" x14ac:dyDescent="0.2">
      <c r="A39" s="14"/>
      <c r="B39" s="14"/>
      <c r="C39" s="784">
        <f>C38+C36</f>
        <v>96434.111600000004</v>
      </c>
      <c r="D39" s="383">
        <f>D38+D36</f>
        <v>14789.961449999999</v>
      </c>
      <c r="E39" s="383">
        <f>E38+E36</f>
        <v>55643.816850000003</v>
      </c>
      <c r="F39" s="383">
        <f>F38+F36</f>
        <v>56124.997000000003</v>
      </c>
      <c r="G39" s="383">
        <f>G38+G36</f>
        <v>14308.781299999999</v>
      </c>
      <c r="H39" s="14"/>
      <c r="I39" s="14"/>
      <c r="J39" s="14"/>
      <c r="K39" s="14"/>
      <c r="L39" s="14"/>
    </row>
    <row r="40" spans="1:14" ht="18" customHeight="1" x14ac:dyDescent="0.2">
      <c r="A40" s="803" t="s">
        <v>12</v>
      </c>
      <c r="B40" s="803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N40" s="379"/>
    </row>
    <row r="41" spans="1:14" x14ac:dyDescent="0.2">
      <c r="A41" s="803" t="s">
        <v>13</v>
      </c>
      <c r="B41" s="803"/>
      <c r="C41" s="803"/>
      <c r="D41" s="803"/>
      <c r="E41" s="803"/>
      <c r="F41" s="803"/>
      <c r="G41" s="803"/>
      <c r="H41" s="803"/>
      <c r="I41" s="803"/>
      <c r="J41" s="803"/>
      <c r="K41" s="803"/>
      <c r="L41" s="803"/>
    </row>
    <row r="42" spans="1:14" x14ac:dyDescent="0.2">
      <c r="A42" s="803" t="s">
        <v>19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</row>
    <row r="43" spans="1:14" x14ac:dyDescent="0.2">
      <c r="A43" s="14" t="s">
        <v>22</v>
      </c>
      <c r="B43" s="14"/>
      <c r="C43" s="14"/>
      <c r="D43" s="14"/>
      <c r="E43" s="14"/>
      <c r="F43" s="14"/>
      <c r="J43" s="820" t="s">
        <v>84</v>
      </c>
      <c r="K43" s="820"/>
      <c r="L43" s="820"/>
    </row>
    <row r="44" spans="1:14" x14ac:dyDescent="0.2">
      <c r="A44" s="14"/>
    </row>
    <row r="45" spans="1:14" x14ac:dyDescent="0.2">
      <c r="B45" s="932" t="s">
        <v>1223</v>
      </c>
      <c r="C45" s="932"/>
      <c r="D45" s="932"/>
      <c r="E45" s="791"/>
      <c r="F45" s="791"/>
      <c r="G45" s="791"/>
      <c r="H45" s="791"/>
      <c r="I45" s="791"/>
      <c r="J45" s="791"/>
      <c r="K45" s="791"/>
      <c r="L45" s="791"/>
    </row>
    <row r="46" spans="1:14" x14ac:dyDescent="0.2">
      <c r="B46" s="15" t="s">
        <v>1221</v>
      </c>
      <c r="C46" s="15">
        <v>1839464.7078651683</v>
      </c>
      <c r="D46" s="15">
        <f>C46*178*0.0001</f>
        <v>32742.471799999996</v>
      </c>
    </row>
    <row r="47" spans="1:14" x14ac:dyDescent="0.2">
      <c r="B47" s="15" t="s">
        <v>1222</v>
      </c>
      <c r="C47" s="15">
        <v>872860.85393258452</v>
      </c>
      <c r="D47" s="15">
        <f>C47*178*0.00015</f>
        <v>23305.384800000003</v>
      </c>
    </row>
    <row r="48" spans="1:14" x14ac:dyDescent="0.2">
      <c r="B48" s="15" t="s">
        <v>1224</v>
      </c>
      <c r="C48" s="15">
        <v>2197.7393162393164</v>
      </c>
      <c r="D48" s="15">
        <f>T6_FG_py_Utlsn!C48*234*0.00015</f>
        <v>77.140650000000008</v>
      </c>
    </row>
    <row r="49" spans="3:5" x14ac:dyDescent="0.2">
      <c r="D49" s="379">
        <f>SUM(D46:D48)</f>
        <v>56124.99725</v>
      </c>
    </row>
    <row r="50" spans="3:5" x14ac:dyDescent="0.2">
      <c r="C50" s="932" t="s">
        <v>1225</v>
      </c>
      <c r="D50" s="932"/>
      <c r="E50" s="15" t="s">
        <v>1226</v>
      </c>
    </row>
    <row r="51" spans="3:5" x14ac:dyDescent="0.2">
      <c r="C51" s="15">
        <v>2294782</v>
      </c>
      <c r="D51" s="15">
        <f>C51*254*0.0001</f>
        <v>58287.462800000001</v>
      </c>
      <c r="E51" s="15">
        <f>D51*3000/100000</f>
        <v>1748.6238840000001</v>
      </c>
    </row>
    <row r="52" spans="3:5" x14ac:dyDescent="0.2">
      <c r="C52" s="15">
        <v>997048</v>
      </c>
      <c r="D52" s="15">
        <f>C52*254*0.00015</f>
        <v>37987.5288</v>
      </c>
      <c r="E52" s="788">
        <f t="shared" ref="E52:E53" si="2">D52*3000/100000</f>
        <v>1139.6258640000001</v>
      </c>
    </row>
    <row r="53" spans="3:5" x14ac:dyDescent="0.2">
      <c r="C53" s="788">
        <v>3400</v>
      </c>
      <c r="D53" s="15">
        <f>C53*312*0.00015</f>
        <v>159.11999999999998</v>
      </c>
      <c r="E53" s="788">
        <f t="shared" si="2"/>
        <v>4.7735999999999992</v>
      </c>
    </row>
    <row r="54" spans="3:5" x14ac:dyDescent="0.2">
      <c r="D54" s="15">
        <f>SUM(D51:D53)</f>
        <v>96434.111600000004</v>
      </c>
      <c r="E54" s="15">
        <f>SUM(E51:E53)</f>
        <v>2893.0233480000002</v>
      </c>
    </row>
  </sheetData>
  <mergeCells count="18">
    <mergeCell ref="C50:D50"/>
    <mergeCell ref="F7:L7"/>
    <mergeCell ref="A9:A10"/>
    <mergeCell ref="B9:B10"/>
    <mergeCell ref="A40:L40"/>
    <mergeCell ref="J43:L43"/>
    <mergeCell ref="A41:L41"/>
    <mergeCell ref="C9:G9"/>
    <mergeCell ref="H9:L9"/>
    <mergeCell ref="I8:L8"/>
    <mergeCell ref="A42:L42"/>
    <mergeCell ref="A36:B36"/>
    <mergeCell ref="B45:D45"/>
    <mergeCell ref="L1:M1"/>
    <mergeCell ref="A3:L3"/>
    <mergeCell ref="A2:L2"/>
    <mergeCell ref="A5:L5"/>
    <mergeCell ref="A7:B7"/>
  </mergeCells>
  <phoneticPr fontId="0" type="noConversion"/>
  <printOptions horizontalCentered="1"/>
  <pageMargins left="0.39" right="0.17" top="0.23622047244094491" bottom="0" header="0.24" footer="0.31496062992125984"/>
  <pageSetup paperSize="9" scale="91" orientation="landscape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W45"/>
  <sheetViews>
    <sheetView topLeftCell="B22" zoomScaleNormal="100" zoomScaleSheetLayoutView="100" workbookViewId="0">
      <selection activeCell="Q36" sqref="Q36"/>
    </sheetView>
  </sheetViews>
  <sheetFormatPr defaultColWidth="9.140625" defaultRowHeight="12.75" x14ac:dyDescent="0.2"/>
  <cols>
    <col min="1" max="1" width="6" style="15" customWidth="1"/>
    <col min="2" max="2" width="15.85546875" style="15" bestFit="1" customWidth="1"/>
    <col min="3" max="3" width="10.5703125" style="15" customWidth="1"/>
    <col min="4" max="4" width="10.7109375" style="15" customWidth="1"/>
    <col min="5" max="5" width="11.140625" style="15" customWidth="1"/>
    <col min="6" max="6" width="12.42578125" style="15" customWidth="1"/>
    <col min="7" max="7" width="14" style="15" customWidth="1"/>
    <col min="8" max="8" width="12.42578125" style="15" customWidth="1"/>
    <col min="9" max="10" width="12.140625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4" width="9.140625" style="15"/>
    <col min="15" max="15" width="10.85546875" style="15" bestFit="1" customWidth="1"/>
    <col min="16" max="16" width="9.140625" style="15"/>
    <col min="17" max="17" width="10.42578125" style="15" bestFit="1" customWidth="1"/>
    <col min="18" max="18" width="9.140625" style="15"/>
    <col min="19" max="19" width="9.28515625" style="15" bestFit="1" customWidth="1"/>
    <col min="20" max="20" width="9.140625" style="15"/>
    <col min="21" max="21" width="10.42578125" style="15" bestFit="1" customWidth="1"/>
    <col min="22" max="22" width="9.140625" style="15"/>
    <col min="23" max="23" width="9.28515625" style="15" bestFit="1" customWidth="1"/>
    <col min="24" max="16384" width="9.140625" style="15"/>
  </cols>
  <sheetData>
    <row r="1" spans="1:21" customFormat="1" ht="15" x14ac:dyDescent="0.2">
      <c r="D1" s="33"/>
      <c r="E1" s="33"/>
      <c r="F1" s="33"/>
      <c r="G1" s="33"/>
      <c r="H1" s="33"/>
      <c r="I1" s="33"/>
      <c r="J1" s="33"/>
      <c r="K1" s="33"/>
      <c r="L1" s="940" t="s">
        <v>72</v>
      </c>
      <c r="M1" s="940"/>
      <c r="N1" s="940"/>
      <c r="O1" s="40"/>
      <c r="P1" s="40"/>
    </row>
    <row r="2" spans="1:21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42"/>
      <c r="N2" s="42"/>
      <c r="O2" s="42"/>
      <c r="P2" s="42"/>
    </row>
    <row r="3" spans="1:21" customFormat="1" ht="20.25" x14ac:dyDescent="0.3">
      <c r="A3" s="942" t="s">
        <v>740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41"/>
      <c r="N3" s="41"/>
      <c r="O3" s="41"/>
      <c r="P3" s="41"/>
    </row>
    <row r="4" spans="1:21" customFormat="1" ht="10.5" customHeight="1" x14ac:dyDescent="0.2"/>
    <row r="5" spans="1:21" ht="19.5" customHeight="1" x14ac:dyDescent="0.25">
      <c r="A5" s="931" t="s">
        <v>806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</row>
    <row r="6" spans="1:2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R6" s="20"/>
      <c r="S6" s="20"/>
    </row>
    <row r="7" spans="1:21" x14ac:dyDescent="0.2">
      <c r="A7" s="820" t="s">
        <v>920</v>
      </c>
      <c r="B7" s="820"/>
      <c r="F7" s="941" t="s">
        <v>20</v>
      </c>
      <c r="G7" s="941"/>
      <c r="H7" s="941"/>
      <c r="I7" s="941"/>
      <c r="J7" s="941"/>
      <c r="K7" s="941"/>
      <c r="L7" s="941"/>
      <c r="R7" s="20"/>
      <c r="S7" s="20"/>
    </row>
    <row r="8" spans="1:21" x14ac:dyDescent="0.2">
      <c r="A8" s="14"/>
      <c r="F8" s="16"/>
      <c r="G8" s="92"/>
      <c r="H8" s="92"/>
      <c r="I8" s="921" t="s">
        <v>830</v>
      </c>
      <c r="J8" s="921"/>
      <c r="K8" s="921"/>
      <c r="L8" s="921"/>
      <c r="R8" s="20"/>
      <c r="S8" s="20"/>
    </row>
    <row r="9" spans="1:21" s="14" customFormat="1" x14ac:dyDescent="0.2">
      <c r="A9" s="834" t="s">
        <v>2</v>
      </c>
      <c r="B9" s="834" t="s">
        <v>3</v>
      </c>
      <c r="C9" s="827" t="s">
        <v>21</v>
      </c>
      <c r="D9" s="828"/>
      <c r="E9" s="828"/>
      <c r="F9" s="828"/>
      <c r="G9" s="828"/>
      <c r="H9" s="827" t="s">
        <v>42</v>
      </c>
      <c r="I9" s="828"/>
      <c r="J9" s="828"/>
      <c r="K9" s="828"/>
      <c r="L9" s="828"/>
      <c r="R9" s="28"/>
      <c r="S9" s="28"/>
    </row>
    <row r="10" spans="1:21" s="14" customFormat="1" ht="77.45" customHeight="1" x14ac:dyDescent="0.2">
      <c r="A10" s="834"/>
      <c r="B10" s="834"/>
      <c r="C10" s="5" t="s">
        <v>849</v>
      </c>
      <c r="D10" s="5" t="s">
        <v>822</v>
      </c>
      <c r="E10" s="5" t="s">
        <v>70</v>
      </c>
      <c r="F10" s="5" t="s">
        <v>71</v>
      </c>
      <c r="G10" s="5" t="s">
        <v>657</v>
      </c>
      <c r="H10" s="5" t="s">
        <v>849</v>
      </c>
      <c r="I10" s="5" t="s">
        <v>822</v>
      </c>
      <c r="J10" s="5" t="s">
        <v>70</v>
      </c>
      <c r="K10" s="5" t="s">
        <v>71</v>
      </c>
      <c r="L10" s="5" t="s">
        <v>658</v>
      </c>
      <c r="O10" s="14" t="s">
        <v>1220</v>
      </c>
      <c r="P10" s="14" t="s">
        <v>1227</v>
      </c>
      <c r="Q10" s="14" t="s">
        <v>1228</v>
      </c>
      <c r="R10" s="28"/>
      <c r="S10" s="28"/>
    </row>
    <row r="11" spans="1:21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21" ht="15.75" x14ac:dyDescent="0.25">
      <c r="A12" s="698">
        <v>1</v>
      </c>
      <c r="B12" s="482" t="s">
        <v>896</v>
      </c>
      <c r="C12" s="312">
        <f>'T5A_PLAN_vs_PRFM '!D12*254*0.00015</f>
        <v>2403.348</v>
      </c>
      <c r="D12" s="312">
        <v>261.53324999999995</v>
      </c>
      <c r="E12" s="312">
        <v>1427.25</v>
      </c>
      <c r="F12" s="312">
        <v>1414.769</v>
      </c>
      <c r="G12" s="312">
        <f>D12+E12-F12</f>
        <v>274.01424999999995</v>
      </c>
      <c r="H12" s="25"/>
      <c r="I12" s="25"/>
      <c r="J12" s="535"/>
      <c r="K12" s="535"/>
      <c r="L12" s="18"/>
      <c r="O12" s="790">
        <f>E12+T6_FG_py_Utlsn!E12</f>
        <v>3458.3629999999998</v>
      </c>
      <c r="P12" s="379">
        <f>G12+T6_FG_py_Utlsn!G12</f>
        <v>745.74474999999961</v>
      </c>
      <c r="Q12" s="534">
        <f>D12+T6_FG_py_Utlsn!D12</f>
        <v>612.94574999999986</v>
      </c>
      <c r="S12" s="534"/>
      <c r="U12" s="534"/>
    </row>
    <row r="13" spans="1:21" ht="15.75" x14ac:dyDescent="0.25">
      <c r="A13" s="698">
        <v>2</v>
      </c>
      <c r="B13" s="482" t="s">
        <v>897</v>
      </c>
      <c r="C13" s="312">
        <f>'T5A_PLAN_vs_PRFM '!D13*254*0.00015</f>
        <v>668.8454999999999</v>
      </c>
      <c r="D13" s="312">
        <v>132.50655000000006</v>
      </c>
      <c r="E13" s="312">
        <v>413.70399999999995</v>
      </c>
      <c r="F13" s="312">
        <v>439.00400000000002</v>
      </c>
      <c r="G13" s="312">
        <f t="shared" ref="G13:G35" si="0">D13+E13-F13</f>
        <v>107.20654999999999</v>
      </c>
      <c r="H13" s="25"/>
      <c r="I13" s="25"/>
      <c r="J13" s="535"/>
      <c r="K13" s="535"/>
      <c r="L13" s="18"/>
      <c r="O13" s="790">
        <f>E13+T6_FG_py_Utlsn!E13</f>
        <v>1115.8440000000001</v>
      </c>
      <c r="P13" s="379">
        <f>G13+T6_FG_py_Utlsn!G13</f>
        <v>410.97014999999999</v>
      </c>
      <c r="Q13" s="534">
        <f>D13+T6_FG_py_Utlsn!D13</f>
        <v>425.15715000000012</v>
      </c>
      <c r="S13" s="534"/>
      <c r="U13" s="534"/>
    </row>
    <row r="14" spans="1:21" ht="15.75" x14ac:dyDescent="0.25">
      <c r="A14" s="698">
        <v>3</v>
      </c>
      <c r="B14" s="482" t="s">
        <v>898</v>
      </c>
      <c r="C14" s="312">
        <f>'T5A_PLAN_vs_PRFM '!D14*254*0.00015</f>
        <v>613.14329999999995</v>
      </c>
      <c r="D14" s="312">
        <v>54.718349999999987</v>
      </c>
      <c r="E14" s="312">
        <v>414.82999999999993</v>
      </c>
      <c r="F14" s="312">
        <v>366.66199999999998</v>
      </c>
      <c r="G14" s="312">
        <f t="shared" si="0"/>
        <v>102.88634999999994</v>
      </c>
      <c r="H14" s="25"/>
      <c r="I14" s="25"/>
      <c r="J14" s="535"/>
      <c r="K14" s="535"/>
      <c r="L14" s="18"/>
      <c r="O14" s="790">
        <f>E14+T6_FG_py_Utlsn!E14</f>
        <v>944.09999999999991</v>
      </c>
      <c r="P14" s="379">
        <f>G14+T6_FG_py_Utlsn!G14</f>
        <v>289.90835000000004</v>
      </c>
      <c r="Q14" s="534">
        <f>D14+T6_FG_py_Utlsn!D14</f>
        <v>213.20735000000013</v>
      </c>
      <c r="S14" s="534"/>
      <c r="U14" s="534"/>
    </row>
    <row r="15" spans="1:21" ht="15.75" x14ac:dyDescent="0.25">
      <c r="A15" s="698">
        <v>4</v>
      </c>
      <c r="B15" s="482" t="s">
        <v>899</v>
      </c>
      <c r="C15" s="312">
        <f>'T5A_PLAN_vs_PRFM '!D15*254*0.00015</f>
        <v>1571.1677999999999</v>
      </c>
      <c r="D15" s="312">
        <v>163.97939999999994</v>
      </c>
      <c r="E15" s="312">
        <v>914.75</v>
      </c>
      <c r="F15" s="312">
        <v>972.68600000000004</v>
      </c>
      <c r="G15" s="312">
        <f t="shared" si="0"/>
        <v>106.04339999999991</v>
      </c>
      <c r="H15" s="25"/>
      <c r="I15" s="25"/>
      <c r="J15" s="535"/>
      <c r="K15" s="535"/>
      <c r="L15" s="18"/>
      <c r="O15" s="790">
        <f>E15+T6_FG_py_Utlsn!E15</f>
        <v>2436.41</v>
      </c>
      <c r="P15" s="379">
        <f>G15+T6_FG_py_Utlsn!G15</f>
        <v>435.64809999999954</v>
      </c>
      <c r="Q15" s="534">
        <f>D15+T6_FG_py_Utlsn!D15</f>
        <v>463.35209999999984</v>
      </c>
      <c r="S15" s="534"/>
      <c r="U15" s="534"/>
    </row>
    <row r="16" spans="1:21" ht="15.75" x14ac:dyDescent="0.25">
      <c r="A16" s="698">
        <v>5</v>
      </c>
      <c r="B16" s="482" t="s">
        <v>900</v>
      </c>
      <c r="C16" s="312">
        <f>'T5A_PLAN_vs_PRFM '!D16*254*0.00015</f>
        <v>882.70079999999996</v>
      </c>
      <c r="D16" s="312">
        <v>65.641949999999952</v>
      </c>
      <c r="E16" s="312">
        <v>621.45000000000005</v>
      </c>
      <c r="F16" s="312">
        <v>533.97400000000005</v>
      </c>
      <c r="G16" s="312">
        <f t="shared" si="0"/>
        <v>153.11794999999995</v>
      </c>
      <c r="H16" s="25"/>
      <c r="I16" s="25"/>
      <c r="J16" s="535"/>
      <c r="K16" s="535"/>
      <c r="L16" s="18"/>
      <c r="O16" s="790">
        <f>E16+T6_FG_py_Utlsn!E16</f>
        <v>1514.1599999999999</v>
      </c>
      <c r="P16" s="379">
        <f>G16+T6_FG_py_Utlsn!G16</f>
        <v>444.61284999999975</v>
      </c>
      <c r="Q16" s="534">
        <f>D16+T6_FG_py_Utlsn!D16</f>
        <v>248.6258499999999</v>
      </c>
      <c r="S16" s="534"/>
      <c r="U16" s="534"/>
    </row>
    <row r="17" spans="1:23" ht="15.75" x14ac:dyDescent="0.25">
      <c r="A17" s="698">
        <v>6</v>
      </c>
      <c r="B17" s="482" t="s">
        <v>901</v>
      </c>
      <c r="C17" s="312">
        <f>'T5A_PLAN_vs_PRFM '!D17*254*0.00015</f>
        <v>1914.3725999999999</v>
      </c>
      <c r="D17" s="312">
        <v>6.5376000000001113</v>
      </c>
      <c r="E17" s="312">
        <v>1123.9674</v>
      </c>
      <c r="F17" s="312">
        <v>1130.5050000000001</v>
      </c>
      <c r="G17" s="312">
        <f t="shared" si="0"/>
        <v>0</v>
      </c>
      <c r="H17" s="25"/>
      <c r="I17" s="25"/>
      <c r="J17" s="535"/>
      <c r="K17" s="703"/>
      <c r="L17" s="18"/>
      <c r="O17" s="790">
        <f>E17+T6_FG_py_Utlsn!E17</f>
        <v>2797.1273999999999</v>
      </c>
      <c r="P17" s="379">
        <f>G17+T6_FG_py_Utlsn!G17</f>
        <v>479.49</v>
      </c>
      <c r="Q17" s="534">
        <f>D17+T6_FG_py_Utlsn!D17</f>
        <v>148.6396000000002</v>
      </c>
      <c r="S17" s="384"/>
      <c r="U17" s="534"/>
      <c r="W17" s="534"/>
    </row>
    <row r="18" spans="1:23" ht="15.75" x14ac:dyDescent="0.25">
      <c r="A18" s="698">
        <v>7</v>
      </c>
      <c r="B18" s="482" t="s">
        <v>902</v>
      </c>
      <c r="C18" s="312">
        <f>'T5A_PLAN_vs_PRFM '!D18*254*0.00015</f>
        <v>1219.8095999999998</v>
      </c>
      <c r="D18" s="312">
        <v>500.73014999999987</v>
      </c>
      <c r="E18" s="312">
        <v>509.31999999999994</v>
      </c>
      <c r="F18" s="312">
        <v>713.55499999999995</v>
      </c>
      <c r="G18" s="312">
        <f t="shared" si="0"/>
        <v>296.49514999999985</v>
      </c>
      <c r="H18" s="25"/>
      <c r="I18" s="25"/>
      <c r="J18" s="535"/>
      <c r="K18" s="535"/>
      <c r="L18" s="18"/>
      <c r="O18" s="790">
        <f>E18+T6_FG_py_Utlsn!E18</f>
        <v>1261.4199999999998</v>
      </c>
      <c r="P18" s="379">
        <f>G18+T6_FG_py_Utlsn!G18</f>
        <v>433.57744999999977</v>
      </c>
      <c r="Q18" s="534">
        <f>D18+T6_FG_py_Utlsn!D18</f>
        <v>787.07344999999987</v>
      </c>
      <c r="S18" s="534"/>
      <c r="U18" s="534"/>
    </row>
    <row r="19" spans="1:23" ht="15.75" x14ac:dyDescent="0.25">
      <c r="A19" s="698">
        <v>8</v>
      </c>
      <c r="B19" s="482" t="s">
        <v>903</v>
      </c>
      <c r="C19" s="312">
        <f>'T5A_PLAN_vs_PRFM '!D19*254*0.00015</f>
        <v>2113.9784999999997</v>
      </c>
      <c r="D19" s="312">
        <v>174.39750000000026</v>
      </c>
      <c r="E19" s="312">
        <v>1430.91</v>
      </c>
      <c r="F19" s="312">
        <v>1390.51</v>
      </c>
      <c r="G19" s="312">
        <f t="shared" si="0"/>
        <v>214.79750000000035</v>
      </c>
      <c r="H19" s="25"/>
      <c r="I19" s="25"/>
      <c r="J19" s="535"/>
      <c r="K19" s="535"/>
      <c r="L19" s="18"/>
      <c r="O19" s="790">
        <f>E19+T6_FG_py_Utlsn!E19</f>
        <v>3614.384</v>
      </c>
      <c r="P19" s="379">
        <f>G19+T6_FG_py_Utlsn!G19</f>
        <v>779.90970000000038</v>
      </c>
      <c r="Q19" s="534">
        <f>D19+T6_FG_py_Utlsn!D19</f>
        <v>702.42070000000035</v>
      </c>
      <c r="S19" s="534"/>
      <c r="U19" s="534"/>
    </row>
    <row r="20" spans="1:23" ht="15.75" x14ac:dyDescent="0.25">
      <c r="A20" s="698">
        <v>9</v>
      </c>
      <c r="B20" s="482" t="s">
        <v>904</v>
      </c>
      <c r="C20" s="312">
        <f>'T5A_PLAN_vs_PRFM '!D20*254*0.00015</f>
        <v>3247.2248999999997</v>
      </c>
      <c r="D20" s="312">
        <v>477.41145000000006</v>
      </c>
      <c r="E20" s="312">
        <v>1843.5500000000002</v>
      </c>
      <c r="F20" s="312">
        <v>2135.9050000000002</v>
      </c>
      <c r="G20" s="312">
        <f t="shared" si="0"/>
        <v>185.05645000000004</v>
      </c>
      <c r="H20" s="25"/>
      <c r="I20" s="25"/>
      <c r="J20" s="535"/>
      <c r="K20" s="535"/>
      <c r="L20" s="18"/>
      <c r="O20" s="790">
        <f>E20+T6_FG_py_Utlsn!E20</f>
        <v>4804.84</v>
      </c>
      <c r="P20" s="379">
        <f>G20+T6_FG_py_Utlsn!G20</f>
        <v>581.01344999999901</v>
      </c>
      <c r="Q20" s="534">
        <f>D20+T6_FG_py_Utlsn!D20</f>
        <v>814.1924499999991</v>
      </c>
      <c r="S20" s="534"/>
      <c r="U20" s="534"/>
    </row>
    <row r="21" spans="1:23" ht="15.75" x14ac:dyDescent="0.25">
      <c r="A21" s="698">
        <v>10</v>
      </c>
      <c r="B21" s="482" t="s">
        <v>905</v>
      </c>
      <c r="C21" s="312">
        <f>'T5A_PLAN_vs_PRFM '!D21*254*0.00015</f>
        <v>1033.653</v>
      </c>
      <c r="D21" s="312">
        <v>55.791300000000092</v>
      </c>
      <c r="E21" s="312">
        <v>803.53800000000001</v>
      </c>
      <c r="F21" s="312">
        <v>604.22400000000005</v>
      </c>
      <c r="G21" s="312">
        <f t="shared" si="0"/>
        <v>255.10530000000006</v>
      </c>
      <c r="H21" s="25"/>
      <c r="I21" s="25"/>
      <c r="J21" s="535"/>
      <c r="K21" s="535"/>
      <c r="L21" s="18"/>
      <c r="O21" s="790">
        <f>E21+T6_FG_py_Utlsn!E21</f>
        <v>1919.7280000000001</v>
      </c>
      <c r="P21" s="379">
        <f>G21+T6_FG_py_Utlsn!G21</f>
        <v>737.3777</v>
      </c>
      <c r="Q21" s="534">
        <f>D21+T6_FG_py_Utlsn!D21</f>
        <v>374.44769999999994</v>
      </c>
      <c r="S21" s="534"/>
      <c r="U21" s="534"/>
    </row>
    <row r="22" spans="1:23" ht="15.75" x14ac:dyDescent="0.25">
      <c r="A22" s="698">
        <v>11</v>
      </c>
      <c r="B22" s="482" t="s">
        <v>906</v>
      </c>
      <c r="C22" s="312">
        <f>'T5A_PLAN_vs_PRFM '!D22*254*0.00015</f>
        <v>1725.2060999999999</v>
      </c>
      <c r="D22" s="312">
        <v>408.96479999999974</v>
      </c>
      <c r="E22" s="312">
        <v>866.08</v>
      </c>
      <c r="F22" s="312">
        <v>1156.0809999999999</v>
      </c>
      <c r="G22" s="312">
        <f t="shared" si="0"/>
        <v>118.96379999999976</v>
      </c>
      <c r="H22" s="25"/>
      <c r="I22" s="25"/>
      <c r="J22" s="535"/>
      <c r="K22" s="535"/>
      <c r="L22" s="18"/>
      <c r="O22" s="790">
        <f>E22+T6_FG_py_Utlsn!E22</f>
        <v>2168.7455</v>
      </c>
      <c r="P22" s="379">
        <f>G22+T6_FG_py_Utlsn!G22</f>
        <v>450.91839999999979</v>
      </c>
      <c r="Q22" s="534">
        <f>D22+T6_FG_py_Utlsn!D22</f>
        <v>1015.1628999999998</v>
      </c>
      <c r="S22" s="534"/>
      <c r="U22" s="534"/>
    </row>
    <row r="23" spans="1:23" ht="15.75" x14ac:dyDescent="0.25">
      <c r="A23" s="698">
        <v>12</v>
      </c>
      <c r="B23" s="269" t="s">
        <v>907</v>
      </c>
      <c r="C23" s="312">
        <f>'T5A_PLAN_vs_PRFM '!D23*254*0.00015</f>
        <v>1929.4220999999998</v>
      </c>
      <c r="D23" s="312">
        <v>262.36649999999986</v>
      </c>
      <c r="E23" s="312">
        <v>1126.6640000000002</v>
      </c>
      <c r="F23" s="312">
        <v>1094.175</v>
      </c>
      <c r="G23" s="312">
        <f t="shared" si="0"/>
        <v>294.85550000000012</v>
      </c>
      <c r="H23" s="25"/>
      <c r="I23" s="25"/>
      <c r="J23" s="535"/>
      <c r="K23" s="535"/>
      <c r="L23" s="18"/>
      <c r="O23" s="790">
        <f>E23+T6_FG_py_Utlsn!E23</f>
        <v>2892.9804000000004</v>
      </c>
      <c r="P23" s="379">
        <f>G23+T6_FG_py_Utlsn!G23</f>
        <v>1038.9719000000005</v>
      </c>
      <c r="Q23" s="534">
        <f>D23+T6_FG_py_Utlsn!D23</f>
        <v>668.64250000000015</v>
      </c>
      <c r="S23" s="534"/>
      <c r="U23" s="534"/>
    </row>
    <row r="24" spans="1:23" ht="15.75" x14ac:dyDescent="0.25">
      <c r="A24" s="698">
        <v>13</v>
      </c>
      <c r="B24" s="482" t="s">
        <v>908</v>
      </c>
      <c r="C24" s="312">
        <f>'T5A_PLAN_vs_PRFM '!D24*254*0.00015</f>
        <v>932.26889999999992</v>
      </c>
      <c r="D24" s="312">
        <v>92.945549999999912</v>
      </c>
      <c r="E24" s="312">
        <v>661.37</v>
      </c>
      <c r="F24" s="312">
        <v>521.101</v>
      </c>
      <c r="G24" s="312">
        <f t="shared" si="0"/>
        <v>233.21454999999992</v>
      </c>
      <c r="H24" s="25"/>
      <c r="I24" s="25"/>
      <c r="J24" s="535"/>
      <c r="K24" s="535"/>
      <c r="L24" s="18"/>
      <c r="O24" s="790">
        <f>E24+T6_FG_py_Utlsn!E24</f>
        <v>1174.0900000000001</v>
      </c>
      <c r="P24" s="379">
        <f>G24+T6_FG_py_Utlsn!G24</f>
        <v>333.36355000000003</v>
      </c>
      <c r="Q24" s="534">
        <f>D24+T6_FG_py_Utlsn!D24</f>
        <v>259.70555000000002</v>
      </c>
      <c r="S24" s="534"/>
      <c r="U24" s="534"/>
    </row>
    <row r="25" spans="1:23" ht="15.75" x14ac:dyDescent="0.25">
      <c r="A25" s="698">
        <v>14</v>
      </c>
      <c r="B25" s="482" t="s">
        <v>909</v>
      </c>
      <c r="C25" s="312">
        <f>'T5A_PLAN_vs_PRFM '!D25*254*0.00015</f>
        <v>932.38319999999987</v>
      </c>
      <c r="D25" s="312">
        <v>403.37774999999999</v>
      </c>
      <c r="E25" s="312">
        <v>268.57</v>
      </c>
      <c r="F25" s="312">
        <v>540.29300000000001</v>
      </c>
      <c r="G25" s="312">
        <f t="shared" si="0"/>
        <v>131.65475000000004</v>
      </c>
      <c r="H25" s="25"/>
      <c r="I25" s="25"/>
      <c r="J25" s="535"/>
      <c r="K25" s="535"/>
      <c r="L25" s="18"/>
      <c r="O25" s="790">
        <f>E25+T6_FG_py_Utlsn!E25</f>
        <v>880.78800000000001</v>
      </c>
      <c r="P25" s="379">
        <f>G25+T6_FG_py_Utlsn!G25</f>
        <v>711.71325000000024</v>
      </c>
      <c r="Q25" s="534">
        <f>D25+T6_FG_py_Utlsn!D25</f>
        <v>1046.77225</v>
      </c>
      <c r="S25" s="534"/>
      <c r="U25" s="534"/>
    </row>
    <row r="26" spans="1:23" ht="15.75" x14ac:dyDescent="0.25">
      <c r="A26" s="698">
        <v>15</v>
      </c>
      <c r="B26" s="482" t="s">
        <v>910</v>
      </c>
      <c r="C26" s="312">
        <f>'T5A_PLAN_vs_PRFM '!D26*254*0.00015</f>
        <v>2078.8121999999998</v>
      </c>
      <c r="D26" s="312">
        <v>43.282500000000027</v>
      </c>
      <c r="E26" s="312">
        <v>1412.08</v>
      </c>
      <c r="F26" s="312">
        <v>1191.9639999999999</v>
      </c>
      <c r="G26" s="312">
        <f t="shared" si="0"/>
        <v>263.39850000000001</v>
      </c>
      <c r="H26" s="25"/>
      <c r="I26" s="25"/>
      <c r="J26" s="535"/>
      <c r="K26" s="535"/>
      <c r="L26" s="18"/>
      <c r="O26" s="790">
        <f>E26+T6_FG_py_Utlsn!E26</f>
        <v>2877.7</v>
      </c>
      <c r="P26" s="379">
        <f>G26+T6_FG_py_Utlsn!G26</f>
        <v>742.38329999999996</v>
      </c>
      <c r="Q26" s="534">
        <f>D26+T6_FG_py_Utlsn!D26</f>
        <v>568.94029999999998</v>
      </c>
      <c r="S26" s="534"/>
      <c r="U26" s="534"/>
    </row>
    <row r="27" spans="1:23" ht="15.75" x14ac:dyDescent="0.25">
      <c r="A27" s="698">
        <v>16</v>
      </c>
      <c r="B27" s="482" t="s">
        <v>911</v>
      </c>
      <c r="C27" s="312">
        <f>'T5A_PLAN_vs_PRFM '!D27*254*0.00015</f>
        <v>2371.9535999999998</v>
      </c>
      <c r="D27" s="312">
        <v>537.90030000000024</v>
      </c>
      <c r="E27" s="312">
        <v>1404.64</v>
      </c>
      <c r="F27" s="312">
        <v>1602.5070000000001</v>
      </c>
      <c r="G27" s="312">
        <f t="shared" si="0"/>
        <v>340.03330000000028</v>
      </c>
      <c r="H27" s="25"/>
      <c r="I27" s="25"/>
      <c r="J27" s="535"/>
      <c r="K27" s="535"/>
      <c r="L27" s="18"/>
      <c r="O27" s="790">
        <f>E27+T6_FG_py_Utlsn!E27</f>
        <v>3584.1500000000005</v>
      </c>
      <c r="P27" s="379">
        <f>G27+T6_FG_py_Utlsn!G27</f>
        <v>1013.674400000001</v>
      </c>
      <c r="Q27" s="534">
        <f>D27+T6_FG_py_Utlsn!D27</f>
        <v>1634.0734000000007</v>
      </c>
      <c r="S27" s="534"/>
      <c r="U27" s="534"/>
    </row>
    <row r="28" spans="1:23" ht="15.75" x14ac:dyDescent="0.25">
      <c r="A28" s="698">
        <v>17</v>
      </c>
      <c r="B28" s="482" t="s">
        <v>912</v>
      </c>
      <c r="C28" s="312">
        <f>'T5A_PLAN_vs_PRFM '!D28*254*0.00015</f>
        <v>2174.5574999999999</v>
      </c>
      <c r="D28" s="312">
        <v>96.288900000000012</v>
      </c>
      <c r="E28" s="312">
        <v>1601.0500000000002</v>
      </c>
      <c r="F28" s="312">
        <v>1322.864</v>
      </c>
      <c r="G28" s="312">
        <f t="shared" si="0"/>
        <v>374.47490000000016</v>
      </c>
      <c r="H28" s="25"/>
      <c r="I28" s="25"/>
      <c r="J28" s="535"/>
      <c r="K28" s="535"/>
      <c r="L28" s="18"/>
      <c r="O28" s="790">
        <f>E28+T6_FG_py_Utlsn!E28</f>
        <v>2731.8</v>
      </c>
      <c r="P28" s="379">
        <f>G28+T6_FG_py_Utlsn!G28</f>
        <v>936.74889999999959</v>
      </c>
      <c r="Q28" s="534">
        <f>D28+T6_FG_py_Utlsn!D28</f>
        <v>963.47989999999936</v>
      </c>
      <c r="S28" s="534"/>
      <c r="U28" s="534"/>
    </row>
    <row r="29" spans="1:23" ht="15.75" x14ac:dyDescent="0.25">
      <c r="A29" s="698">
        <v>18</v>
      </c>
      <c r="B29" s="482" t="s">
        <v>913</v>
      </c>
      <c r="C29" s="312">
        <f>'T5A_PLAN_vs_PRFM '!D29*254*0.00015</f>
        <v>1823.6183999999998</v>
      </c>
      <c r="D29" s="312">
        <v>259.91579999999999</v>
      </c>
      <c r="E29" s="312">
        <v>1129.693</v>
      </c>
      <c r="F29" s="312">
        <v>1058.3499999999999</v>
      </c>
      <c r="G29" s="312">
        <f t="shared" si="0"/>
        <v>331.25880000000006</v>
      </c>
      <c r="H29" s="25"/>
      <c r="I29" s="25"/>
      <c r="J29" s="535"/>
      <c r="K29" s="535"/>
      <c r="L29" s="18"/>
      <c r="O29" s="790">
        <f>E29+T6_FG_py_Utlsn!E29</f>
        <v>2688.163</v>
      </c>
      <c r="P29" s="379">
        <f>G29+T6_FG_py_Utlsn!G29</f>
        <v>1066.3575000000001</v>
      </c>
      <c r="Q29" s="534">
        <f>D29+T6_FG_py_Utlsn!D29</f>
        <v>695.41149999999993</v>
      </c>
      <c r="S29" s="534"/>
      <c r="U29" s="534"/>
    </row>
    <row r="30" spans="1:23" ht="15.75" x14ac:dyDescent="0.25">
      <c r="A30" s="698">
        <v>19</v>
      </c>
      <c r="B30" s="482" t="s">
        <v>914</v>
      </c>
      <c r="C30" s="312">
        <f>'T5A_PLAN_vs_PRFM '!D30*254*0.00015</f>
        <v>1363.1798999999999</v>
      </c>
      <c r="D30" s="312">
        <v>208.98675000000003</v>
      </c>
      <c r="E30" s="312">
        <v>855.35</v>
      </c>
      <c r="F30" s="312">
        <v>1009.998</v>
      </c>
      <c r="G30" s="312">
        <f t="shared" si="0"/>
        <v>54.338749999999891</v>
      </c>
      <c r="H30" s="25"/>
      <c r="I30" s="25"/>
      <c r="J30" s="535"/>
      <c r="K30" s="535"/>
      <c r="L30" s="18"/>
      <c r="O30" s="790">
        <f>E30+T6_FG_py_Utlsn!E30</f>
        <v>1967.54</v>
      </c>
      <c r="P30" s="379">
        <f>G30+T6_FG_py_Utlsn!G30</f>
        <v>321.51005000000009</v>
      </c>
      <c r="Q30" s="534">
        <f>D30+T6_FG_py_Utlsn!D30</f>
        <v>845.3610500000002</v>
      </c>
      <c r="S30" s="534"/>
      <c r="U30" s="534"/>
    </row>
    <row r="31" spans="1:23" ht="15.75" x14ac:dyDescent="0.25">
      <c r="A31" s="698">
        <v>20</v>
      </c>
      <c r="B31" s="482" t="s">
        <v>915</v>
      </c>
      <c r="C31" s="312">
        <f>'T5A_PLAN_vs_PRFM '!D31*254*0.00015</f>
        <v>948.30899999999997</v>
      </c>
      <c r="D31" s="312">
        <v>118.47299999999996</v>
      </c>
      <c r="E31" s="312">
        <v>411.77600000000007</v>
      </c>
      <c r="F31" s="312">
        <v>530.24900000000002</v>
      </c>
      <c r="G31" s="312">
        <f t="shared" si="0"/>
        <v>0</v>
      </c>
      <c r="H31" s="25"/>
      <c r="I31" s="25"/>
      <c r="J31" s="535"/>
      <c r="K31" s="703"/>
      <c r="L31" s="18"/>
      <c r="O31" s="790">
        <f>E31+T6_FG_py_Utlsn!E31</f>
        <v>1014.3030000000001</v>
      </c>
      <c r="P31" s="379">
        <f>G31+T6_FG_py_Utlsn!G31</f>
        <v>-3.0000000003838068E-4</v>
      </c>
      <c r="Q31" s="534">
        <f>D31+T6_FG_py_Utlsn!D31</f>
        <v>337.90969999999993</v>
      </c>
      <c r="S31" s="384"/>
      <c r="U31" s="534"/>
      <c r="W31" s="534"/>
    </row>
    <row r="32" spans="1:23" ht="15.75" x14ac:dyDescent="0.25">
      <c r="A32" s="698">
        <v>21</v>
      </c>
      <c r="B32" s="482" t="s">
        <v>916</v>
      </c>
      <c r="C32" s="312">
        <f>'T5A_PLAN_vs_PRFM '!D32*254*0.00015</f>
        <v>1217.5236</v>
      </c>
      <c r="D32" s="312">
        <v>50.981250000000273</v>
      </c>
      <c r="E32" s="312">
        <v>794.20174999999972</v>
      </c>
      <c r="F32" s="312">
        <v>845.18299999999999</v>
      </c>
      <c r="G32" s="312">
        <f t="shared" si="0"/>
        <v>0</v>
      </c>
      <c r="H32" s="25"/>
      <c r="I32" s="25"/>
      <c r="J32" s="535"/>
      <c r="K32" s="703"/>
      <c r="L32" s="18"/>
      <c r="O32" s="790">
        <f>E32+T6_FG_py_Utlsn!E32</f>
        <v>2678.4917499999997</v>
      </c>
      <c r="P32" s="379">
        <f>G32+T6_FG_py_Utlsn!G32</f>
        <v>1050.2408</v>
      </c>
      <c r="Q32" s="534">
        <f>D32+T6_FG_py_Utlsn!D32</f>
        <v>719.64405000000011</v>
      </c>
      <c r="S32" s="384"/>
      <c r="U32" s="534"/>
      <c r="W32" s="534"/>
    </row>
    <row r="33" spans="1:23" ht="15.75" x14ac:dyDescent="0.25">
      <c r="A33" s="698">
        <v>22</v>
      </c>
      <c r="B33" s="482" t="s">
        <v>917</v>
      </c>
      <c r="C33" s="312">
        <f>'T5A_PLAN_vs_PRFM '!D33*254*0.00015</f>
        <v>667.81679999999994</v>
      </c>
      <c r="D33" s="312">
        <v>361.87559999999985</v>
      </c>
      <c r="E33" s="312">
        <v>330.86</v>
      </c>
      <c r="F33" s="312">
        <v>462.63</v>
      </c>
      <c r="G33" s="312">
        <f t="shared" si="0"/>
        <v>230.10559999999987</v>
      </c>
      <c r="H33" s="25"/>
      <c r="I33" s="25"/>
      <c r="J33" s="535"/>
      <c r="K33" s="535"/>
      <c r="L33" s="18"/>
      <c r="O33" s="790">
        <f>E33+T6_FG_py_Utlsn!E33</f>
        <v>1186.7710000000002</v>
      </c>
      <c r="P33" s="379">
        <f>G33+T6_FG_py_Utlsn!G33</f>
        <v>638.21399999999983</v>
      </c>
      <c r="Q33" s="534">
        <f>D33+T6_FG_py_Utlsn!D33</f>
        <v>900.50099999999975</v>
      </c>
      <c r="S33" s="534"/>
      <c r="U33" s="534"/>
    </row>
    <row r="34" spans="1:23" ht="15.75" x14ac:dyDescent="0.25">
      <c r="A34" s="698">
        <v>23</v>
      </c>
      <c r="B34" s="482" t="s">
        <v>918</v>
      </c>
      <c r="C34" s="312">
        <f>'T5A_PLAN_vs_PRFM '!D34*254*0.00015</f>
        <v>1498.1300999999999</v>
      </c>
      <c r="D34" s="312">
        <v>276.56955000000016</v>
      </c>
      <c r="E34" s="312">
        <v>926.3</v>
      </c>
      <c r="F34" s="312">
        <v>958.17700000000002</v>
      </c>
      <c r="G34" s="312">
        <f t="shared" si="0"/>
        <v>244.6925500000001</v>
      </c>
      <c r="H34" s="25"/>
      <c r="I34" s="25"/>
      <c r="J34" s="535"/>
      <c r="K34" s="535"/>
      <c r="L34" s="18"/>
      <c r="O34" s="790">
        <f>E34+T6_FG_py_Utlsn!E34</f>
        <v>2542.06</v>
      </c>
      <c r="P34" s="379">
        <f>G34+T6_FG_py_Utlsn!G34</f>
        <v>666.43335000000013</v>
      </c>
      <c r="Q34" s="534">
        <f>D34+T6_FG_py_Utlsn!D34</f>
        <v>755.85635000000048</v>
      </c>
      <c r="S34" s="534"/>
      <c r="U34" s="534"/>
    </row>
    <row r="35" spans="1:23" ht="15.75" x14ac:dyDescent="0.25">
      <c r="A35" s="698">
        <v>24</v>
      </c>
      <c r="B35" s="18" t="s">
        <v>919</v>
      </c>
      <c r="C35" s="312">
        <f>'T5A_PLAN_vs_PRFM '!D35*254*0.00015</f>
        <v>2656.1034</v>
      </c>
      <c r="D35" s="312">
        <v>-399.0168000000001</v>
      </c>
      <c r="E35" s="312">
        <v>1709.0358000000001</v>
      </c>
      <c r="F35" s="312">
        <v>1310.019</v>
      </c>
      <c r="G35" s="312">
        <f t="shared" si="0"/>
        <v>0</v>
      </c>
      <c r="H35" s="25"/>
      <c r="I35" s="25"/>
      <c r="J35" s="535"/>
      <c r="K35" s="703"/>
      <c r="L35" s="18"/>
      <c r="O35" s="790">
        <f>E35+T6_FG_py_Utlsn!E35</f>
        <v>3389.8577999999998</v>
      </c>
      <c r="P35" s="379">
        <f>G35+T6_FG_py_Utlsn!G35</f>
        <v>-3.0000000015206751E-4</v>
      </c>
      <c r="Q35" s="534">
        <f>D35+T6_FG_py_Utlsn!D35</f>
        <v>-411.56110000000012</v>
      </c>
      <c r="S35" s="384"/>
      <c r="U35" s="534"/>
      <c r="W35" s="534"/>
    </row>
    <row r="36" spans="1:23" s="14" customFormat="1" ht="15.75" x14ac:dyDescent="0.25">
      <c r="A36" s="798" t="s">
        <v>18</v>
      </c>
      <c r="B36" s="800"/>
      <c r="C36" s="316">
        <f>SUM(C12:C35)</f>
        <v>37987.5288</v>
      </c>
      <c r="D36" s="316">
        <f t="shared" ref="D36:L36" si="1">SUM(D12:D35)</f>
        <v>4616.15895</v>
      </c>
      <c r="E36" s="316">
        <f t="shared" si="1"/>
        <v>23000.939950000004</v>
      </c>
      <c r="F36" s="316">
        <f t="shared" si="1"/>
        <v>23305.385000000002</v>
      </c>
      <c r="G36" s="316">
        <f t="shared" si="1"/>
        <v>4311.7138999999997</v>
      </c>
      <c r="H36" s="27">
        <f t="shared" si="1"/>
        <v>0</v>
      </c>
      <c r="I36" s="27">
        <f t="shared" si="1"/>
        <v>0</v>
      </c>
      <c r="J36" s="315">
        <f t="shared" si="1"/>
        <v>0</v>
      </c>
      <c r="K36" s="315">
        <f t="shared" si="1"/>
        <v>0</v>
      </c>
      <c r="L36" s="27">
        <f t="shared" si="1"/>
        <v>0</v>
      </c>
      <c r="O36" s="790">
        <f>E36+T6_FG_py_Utlsn!E36</f>
        <v>55643.816850000003</v>
      </c>
      <c r="P36" s="379">
        <f>SUM(P12:P35)</f>
        <v>14308.781300000001</v>
      </c>
      <c r="Q36" s="534">
        <f>SUM(Q12:Q35)</f>
        <v>14789.961449999999</v>
      </c>
      <c r="S36" s="534"/>
      <c r="U36" s="384"/>
    </row>
    <row r="37" spans="1:23" x14ac:dyDescent="0.2">
      <c r="A37" s="19" t="s">
        <v>656</v>
      </c>
      <c r="B37" s="20"/>
      <c r="C37" s="20"/>
      <c r="D37" s="20"/>
      <c r="E37" s="20"/>
      <c r="F37" s="20"/>
      <c r="G37" s="20"/>
      <c r="H37" s="20"/>
      <c r="I37" s="20"/>
      <c r="J37" s="702"/>
      <c r="K37" s="20"/>
      <c r="L37" s="20"/>
    </row>
    <row r="38" spans="1:23" ht="15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384"/>
      <c r="K38" s="14"/>
      <c r="L38" s="14"/>
      <c r="O38" s="379"/>
      <c r="S38" s="534"/>
    </row>
    <row r="39" spans="1:23" ht="15.75" customHeight="1" x14ac:dyDescent="0.2">
      <c r="A39" s="14"/>
      <c r="B39" s="14"/>
      <c r="C39" s="14"/>
      <c r="D39" s="14"/>
      <c r="E39" s="14"/>
      <c r="F39" s="701"/>
      <c r="G39" s="384"/>
      <c r="H39" s="14"/>
      <c r="I39" s="14"/>
      <c r="J39" s="14"/>
      <c r="K39" s="14"/>
      <c r="L39" s="14"/>
    </row>
    <row r="40" spans="1:23" ht="14.25" customHeight="1" x14ac:dyDescent="0.2">
      <c r="A40" s="803" t="s">
        <v>12</v>
      </c>
      <c r="B40" s="803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O40" s="379"/>
    </row>
    <row r="41" spans="1:23" x14ac:dyDescent="0.2">
      <c r="A41" s="803" t="s">
        <v>13</v>
      </c>
      <c r="B41" s="803"/>
      <c r="C41" s="803"/>
      <c r="D41" s="803"/>
      <c r="E41" s="803"/>
      <c r="F41" s="803"/>
      <c r="G41" s="803"/>
      <c r="H41" s="803"/>
      <c r="I41" s="803"/>
      <c r="J41" s="803"/>
      <c r="K41" s="803"/>
      <c r="L41" s="803"/>
    </row>
    <row r="42" spans="1:23" x14ac:dyDescent="0.2">
      <c r="A42" s="803" t="s">
        <v>19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</row>
    <row r="43" spans="1:23" x14ac:dyDescent="0.2">
      <c r="A43" s="14" t="s">
        <v>22</v>
      </c>
      <c r="B43" s="14"/>
      <c r="C43" s="14"/>
      <c r="D43" s="14"/>
      <c r="E43" s="14"/>
      <c r="F43" s="14"/>
      <c r="J43" s="820" t="s">
        <v>84</v>
      </c>
      <c r="K43" s="820"/>
      <c r="L43" s="820"/>
      <c r="M43" s="820"/>
    </row>
    <row r="44" spans="1:23" x14ac:dyDescent="0.2">
      <c r="A44" s="14"/>
    </row>
    <row r="45" spans="1:23" x14ac:dyDescent="0.2">
      <c r="A45" s="932"/>
      <c r="B45" s="932"/>
      <c r="C45" s="932"/>
      <c r="D45" s="932"/>
      <c r="E45" s="932"/>
      <c r="F45" s="932"/>
      <c r="G45" s="932"/>
      <c r="H45" s="932"/>
      <c r="I45" s="932"/>
      <c r="J45" s="932"/>
      <c r="K45" s="932"/>
      <c r="L45" s="932"/>
    </row>
  </sheetData>
  <mergeCells count="17">
    <mergeCell ref="A42:L42"/>
    <mergeCell ref="A45:L45"/>
    <mergeCell ref="A9:A10"/>
    <mergeCell ref="B9:B10"/>
    <mergeCell ref="C9:G9"/>
    <mergeCell ref="H9:L9"/>
    <mergeCell ref="A40:L40"/>
    <mergeCell ref="A41:L41"/>
    <mergeCell ref="J43:M43"/>
    <mergeCell ref="A36:B36"/>
    <mergeCell ref="I8:L8"/>
    <mergeCell ref="F7:L7"/>
    <mergeCell ref="A7:B7"/>
    <mergeCell ref="L1:N1"/>
    <mergeCell ref="A2:L2"/>
    <mergeCell ref="A3:L3"/>
    <mergeCell ref="A5:L5"/>
  </mergeCells>
  <phoneticPr fontId="0" type="noConversion"/>
  <printOptions horizontalCentered="1"/>
  <pageMargins left="0.2" right="0.16" top="0.23622047244094491" bottom="0" header="0.25" footer="0.18"/>
  <pageSetup paperSize="9" scale="88" orientation="landscape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46"/>
  <sheetViews>
    <sheetView topLeftCell="A19" zoomScale="85" zoomScaleNormal="85" zoomScaleSheetLayoutView="100" workbookViewId="0">
      <selection activeCell="K14" sqref="K14"/>
    </sheetView>
  </sheetViews>
  <sheetFormatPr defaultColWidth="9.140625" defaultRowHeight="12.75" x14ac:dyDescent="0.2"/>
  <cols>
    <col min="1" max="1" width="5.7109375" style="651" customWidth="1"/>
    <col min="2" max="2" width="15.42578125" style="651" bestFit="1" customWidth="1"/>
    <col min="3" max="3" width="13" style="651" customWidth="1"/>
    <col min="4" max="4" width="12" style="651" customWidth="1"/>
    <col min="5" max="5" width="12.42578125" style="651" customWidth="1"/>
    <col min="6" max="6" width="12.7109375" style="651" customWidth="1"/>
    <col min="7" max="7" width="13.140625" style="651" customWidth="1"/>
    <col min="8" max="8" width="13.7109375" style="651" customWidth="1"/>
    <col min="9" max="10" width="12.140625" style="651" customWidth="1"/>
    <col min="11" max="11" width="16.5703125" style="651" customWidth="1"/>
    <col min="12" max="12" width="13.140625" style="651" customWidth="1"/>
    <col min="13" max="13" width="12.7109375" style="651" customWidth="1"/>
    <col min="14" max="14" width="9.140625" style="651"/>
    <col min="15" max="15" width="0" style="651" hidden="1" customWidth="1"/>
    <col min="16" max="16384" width="9.140625" style="651"/>
  </cols>
  <sheetData>
    <row r="1" spans="1:18" x14ac:dyDescent="0.2">
      <c r="K1" s="950" t="s">
        <v>202</v>
      </c>
      <c r="L1" s="950"/>
      <c r="M1" s="950"/>
    </row>
    <row r="2" spans="1:18" ht="12.75" customHeight="1" x14ac:dyDescent="0.2"/>
    <row r="3" spans="1:18" ht="15.75" x14ac:dyDescent="0.25">
      <c r="B3" s="951" t="s">
        <v>0</v>
      </c>
      <c r="C3" s="951"/>
      <c r="D3" s="951"/>
      <c r="E3" s="951"/>
      <c r="F3" s="951"/>
      <c r="G3" s="951"/>
      <c r="H3" s="951"/>
      <c r="I3" s="951"/>
      <c r="J3" s="951"/>
      <c r="K3" s="951"/>
    </row>
    <row r="4" spans="1:18" ht="20.25" x14ac:dyDescent="0.3">
      <c r="B4" s="952" t="s">
        <v>740</v>
      </c>
      <c r="C4" s="952"/>
      <c r="D4" s="952"/>
      <c r="E4" s="952"/>
      <c r="F4" s="952"/>
      <c r="G4" s="952"/>
      <c r="H4" s="952"/>
      <c r="I4" s="952"/>
      <c r="J4" s="952"/>
      <c r="K4" s="952"/>
    </row>
    <row r="5" spans="1:18" ht="10.5" customHeight="1" x14ac:dyDescent="0.2"/>
    <row r="6" spans="1:18" ht="15.75" x14ac:dyDescent="0.25">
      <c r="A6" s="652" t="s">
        <v>807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</row>
    <row r="7" spans="1:18" ht="15.75" x14ac:dyDescent="0.25">
      <c r="C7" s="653"/>
      <c r="D7" s="653"/>
      <c r="E7" s="653"/>
      <c r="F7" s="653"/>
      <c r="G7" s="653"/>
      <c r="H7" s="653"/>
      <c r="L7" s="953" t="s">
        <v>184</v>
      </c>
      <c r="M7" s="953"/>
    </row>
    <row r="8" spans="1:18" ht="15.75" x14ac:dyDescent="0.25">
      <c r="A8" s="945" t="s">
        <v>920</v>
      </c>
      <c r="B8" s="945"/>
      <c r="C8" s="653"/>
      <c r="D8" s="653"/>
      <c r="E8" s="653"/>
      <c r="F8" s="653"/>
      <c r="G8" s="653"/>
      <c r="H8" s="653"/>
    </row>
    <row r="9" spans="1:18" ht="15.75" x14ac:dyDescent="0.25">
      <c r="C9" s="653"/>
      <c r="D9" s="653"/>
      <c r="E9" s="653"/>
      <c r="F9" s="653"/>
      <c r="G9" s="954" t="s">
        <v>830</v>
      </c>
      <c r="H9" s="954"/>
      <c r="I9" s="954"/>
      <c r="J9" s="954"/>
      <c r="K9" s="954"/>
      <c r="L9" s="954"/>
      <c r="M9" s="954"/>
    </row>
    <row r="10" spans="1:18" x14ac:dyDescent="0.2">
      <c r="A10" s="946" t="s">
        <v>25</v>
      </c>
      <c r="B10" s="944" t="s">
        <v>3</v>
      </c>
      <c r="C10" s="946" t="s">
        <v>850</v>
      </c>
      <c r="D10" s="946" t="s">
        <v>822</v>
      </c>
      <c r="E10" s="946" t="s">
        <v>216</v>
      </c>
      <c r="F10" s="946" t="s">
        <v>215</v>
      </c>
      <c r="G10" s="946"/>
      <c r="H10" s="946" t="s">
        <v>181</v>
      </c>
      <c r="I10" s="946"/>
      <c r="J10" s="946" t="s">
        <v>429</v>
      </c>
      <c r="K10" s="946" t="s">
        <v>183</v>
      </c>
      <c r="L10" s="946" t="s">
        <v>406</v>
      </c>
      <c r="M10" s="946" t="s">
        <v>230</v>
      </c>
    </row>
    <row r="11" spans="1:18" x14ac:dyDescent="0.2">
      <c r="A11" s="946"/>
      <c r="B11" s="944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</row>
    <row r="12" spans="1:18" ht="41.25" customHeight="1" x14ac:dyDescent="0.2">
      <c r="A12" s="946"/>
      <c r="B12" s="944"/>
      <c r="C12" s="946"/>
      <c r="D12" s="946"/>
      <c r="E12" s="946"/>
      <c r="F12" s="654" t="s">
        <v>182</v>
      </c>
      <c r="G12" s="654" t="s">
        <v>231</v>
      </c>
      <c r="H12" s="654" t="s">
        <v>182</v>
      </c>
      <c r="I12" s="654" t="s">
        <v>231</v>
      </c>
      <c r="J12" s="946"/>
      <c r="K12" s="946"/>
      <c r="L12" s="946"/>
      <c r="M12" s="946"/>
    </row>
    <row r="13" spans="1:18" x14ac:dyDescent="0.2">
      <c r="A13" s="655">
        <v>1</v>
      </c>
      <c r="B13" s="655">
        <v>2</v>
      </c>
      <c r="C13" s="655">
        <v>3</v>
      </c>
      <c r="D13" s="655">
        <v>4</v>
      </c>
      <c r="E13" s="655">
        <v>5</v>
      </c>
      <c r="F13" s="655">
        <v>6</v>
      </c>
      <c r="G13" s="655">
        <v>7</v>
      </c>
      <c r="H13" s="655">
        <v>8</v>
      </c>
      <c r="I13" s="655">
        <v>9</v>
      </c>
      <c r="J13" s="655"/>
      <c r="K13" s="655">
        <v>10</v>
      </c>
      <c r="L13" s="656">
        <v>11</v>
      </c>
      <c r="M13" s="656">
        <v>12</v>
      </c>
    </row>
    <row r="14" spans="1:18" ht="15" x14ac:dyDescent="0.25">
      <c r="A14" s="657">
        <v>1</v>
      </c>
      <c r="B14" s="479" t="s">
        <v>896</v>
      </c>
      <c r="C14" s="658">
        <f>T6_FG_py_Utlsn!C12*3000/100000+'T6A_FG_Upy_Utlsn '!C12*3000/100000</f>
        <v>184.14825000000002</v>
      </c>
      <c r="D14" s="332">
        <v>-22.432801500000096</v>
      </c>
      <c r="E14" s="332">
        <v>154.63</v>
      </c>
      <c r="F14" s="658">
        <v>3458.3629999999998</v>
      </c>
      <c r="G14" s="658">
        <f>F14*3000/100000</f>
        <v>103.75089</v>
      </c>
      <c r="H14" s="658">
        <v>3458.3629999999998</v>
      </c>
      <c r="I14" s="658">
        <f>3000*H14/100000</f>
        <v>103.75089</v>
      </c>
      <c r="J14" s="658">
        <f>G14-I14</f>
        <v>0</v>
      </c>
      <c r="K14" s="658">
        <f>D14+E14-I14</f>
        <v>28.446308499999901</v>
      </c>
      <c r="L14" s="658">
        <v>174.15</v>
      </c>
      <c r="M14" s="658">
        <v>0</v>
      </c>
      <c r="O14" s="651">
        <f>83.97/100*C14</f>
        <v>154.62928552500003</v>
      </c>
      <c r="P14" s="312"/>
      <c r="Q14" s="312"/>
      <c r="R14" s="704"/>
    </row>
    <row r="15" spans="1:18" ht="15" x14ac:dyDescent="0.25">
      <c r="A15" s="657">
        <v>2</v>
      </c>
      <c r="B15" s="479" t="s">
        <v>897</v>
      </c>
      <c r="C15" s="658">
        <f>T6_FG_py_Utlsn!C13*3000/100000+'T6A_FG_Upy_Utlsn '!C13*3000/100000</f>
        <v>57.496329000000003</v>
      </c>
      <c r="D15" s="332">
        <v>-2.7359999998566309E-4</v>
      </c>
      <c r="E15" s="332">
        <v>48.28</v>
      </c>
      <c r="F15" s="658">
        <v>1115.8440000000001</v>
      </c>
      <c r="G15" s="658">
        <f t="shared" ref="G15:G37" si="0">F15*3000/100000</f>
        <v>33.475320000000004</v>
      </c>
      <c r="H15" s="658">
        <v>1115.8440000000001</v>
      </c>
      <c r="I15" s="658">
        <f t="shared" ref="I15:I37" si="1">3000*H15/100000</f>
        <v>33.475320000000004</v>
      </c>
      <c r="J15" s="658">
        <f t="shared" ref="J15:J37" si="2">G15-I15</f>
        <v>0</v>
      </c>
      <c r="K15" s="658">
        <f t="shared" ref="K15:K37" si="3">D15+E15-I15</f>
        <v>14.804406400000012</v>
      </c>
      <c r="L15" s="658">
        <v>103.29</v>
      </c>
      <c r="M15" s="658">
        <v>0</v>
      </c>
      <c r="O15" s="651">
        <f t="shared" ref="O15:O37" si="4">83.97/100*C15</f>
        <v>48.279667461300001</v>
      </c>
      <c r="P15" s="312"/>
      <c r="Q15" s="312"/>
      <c r="R15" s="704"/>
    </row>
    <row r="16" spans="1:18" ht="15" x14ac:dyDescent="0.25">
      <c r="A16" s="657">
        <v>3</v>
      </c>
      <c r="B16" s="479" t="s">
        <v>898</v>
      </c>
      <c r="C16" s="658">
        <f>T6_FG_py_Utlsn!C14*3000/100000+'T6A_FG_Upy_Utlsn '!C14*3000/100000</f>
        <v>47.763303000000001</v>
      </c>
      <c r="D16" s="332">
        <v>-4.4800000019051822E-5</v>
      </c>
      <c r="E16" s="332">
        <v>40.11</v>
      </c>
      <c r="F16" s="658">
        <v>944.09999999999991</v>
      </c>
      <c r="G16" s="658">
        <f t="shared" si="0"/>
        <v>28.322999999999997</v>
      </c>
      <c r="H16" s="658">
        <v>944.09999999999991</v>
      </c>
      <c r="I16" s="658">
        <f t="shared" si="1"/>
        <v>28.322999999999997</v>
      </c>
      <c r="J16" s="658">
        <f t="shared" si="2"/>
        <v>0</v>
      </c>
      <c r="K16" s="658">
        <f t="shared" si="3"/>
        <v>11.786955199999984</v>
      </c>
      <c r="L16" s="658">
        <v>45.4</v>
      </c>
      <c r="M16" s="658">
        <v>0</v>
      </c>
      <c r="O16" s="651">
        <f t="shared" si="4"/>
        <v>40.106845529099999</v>
      </c>
      <c r="P16" s="312"/>
      <c r="Q16" s="312"/>
      <c r="R16" s="704"/>
    </row>
    <row r="17" spans="1:19" ht="15" x14ac:dyDescent="0.25">
      <c r="A17" s="657">
        <v>4</v>
      </c>
      <c r="B17" s="479" t="s">
        <v>899</v>
      </c>
      <c r="C17" s="658">
        <f>T6_FG_py_Utlsn!C15*3000/100000+'T6A_FG_Upy_Utlsn '!C15*3000/100000</f>
        <v>133.979412</v>
      </c>
      <c r="D17" s="332">
        <v>3.3700000017233833E-5</v>
      </c>
      <c r="E17" s="332">
        <v>112.5</v>
      </c>
      <c r="F17" s="658">
        <v>2436.41</v>
      </c>
      <c r="G17" s="658">
        <f t="shared" si="0"/>
        <v>73.092299999999994</v>
      </c>
      <c r="H17" s="658">
        <v>2436.41</v>
      </c>
      <c r="I17" s="658">
        <f t="shared" si="1"/>
        <v>73.092299999999994</v>
      </c>
      <c r="J17" s="658">
        <f t="shared" si="2"/>
        <v>0</v>
      </c>
      <c r="K17" s="658">
        <f t="shared" si="3"/>
        <v>39.407733700000023</v>
      </c>
      <c r="L17" s="658">
        <v>108.08</v>
      </c>
      <c r="M17" s="658">
        <v>0</v>
      </c>
      <c r="O17" s="651">
        <f t="shared" si="4"/>
        <v>112.5025122564</v>
      </c>
      <c r="P17" s="312"/>
      <c r="Q17" s="312"/>
      <c r="R17" s="704"/>
    </row>
    <row r="18" spans="1:19" ht="15" x14ac:dyDescent="0.25">
      <c r="A18" s="657">
        <v>5</v>
      </c>
      <c r="B18" s="479" t="s">
        <v>900</v>
      </c>
      <c r="C18" s="658">
        <f>T6_FG_py_Utlsn!C16*3000/100000+'T6A_FG_Upy_Utlsn '!C16*3000/100000</f>
        <v>71.598282000000012</v>
      </c>
      <c r="D18" s="332">
        <v>-1.6599999980826396E-5</v>
      </c>
      <c r="E18" s="332">
        <v>60.12</v>
      </c>
      <c r="F18" s="658">
        <v>1514.1599999999999</v>
      </c>
      <c r="G18" s="658">
        <f t="shared" si="0"/>
        <v>45.424799999999998</v>
      </c>
      <c r="H18" s="658">
        <v>1514.1599999999999</v>
      </c>
      <c r="I18" s="658">
        <f t="shared" si="1"/>
        <v>45.424799999999998</v>
      </c>
      <c r="J18" s="658">
        <f t="shared" si="2"/>
        <v>0</v>
      </c>
      <c r="K18" s="658">
        <f t="shared" si="3"/>
        <v>14.695183400000019</v>
      </c>
      <c r="L18" s="658">
        <v>126.69</v>
      </c>
      <c r="M18" s="658">
        <v>0</v>
      </c>
      <c r="O18" s="651">
        <f t="shared" si="4"/>
        <v>60.121077395400008</v>
      </c>
      <c r="P18" s="312"/>
      <c r="Q18" s="312"/>
      <c r="R18" s="704"/>
    </row>
    <row r="19" spans="1:19" ht="15" x14ac:dyDescent="0.25">
      <c r="A19" s="657">
        <v>6</v>
      </c>
      <c r="B19" s="479" t="s">
        <v>901</v>
      </c>
      <c r="C19" s="658">
        <f>T6_FG_py_Utlsn!C17*3000/100000+'T6A_FG_Upy_Utlsn '!C17*3000/100000</f>
        <v>134.66597400000001</v>
      </c>
      <c r="D19" s="332">
        <v>-146.89749170000002</v>
      </c>
      <c r="E19" s="332">
        <v>113.08</v>
      </c>
      <c r="F19" s="658">
        <v>2797.1273999999999</v>
      </c>
      <c r="G19" s="658">
        <f t="shared" si="0"/>
        <v>83.913821999999996</v>
      </c>
      <c r="H19" s="658">
        <v>2797.1273999999999</v>
      </c>
      <c r="I19" s="658">
        <f t="shared" si="1"/>
        <v>83.913821999999996</v>
      </c>
      <c r="J19" s="658">
        <f t="shared" si="2"/>
        <v>0</v>
      </c>
      <c r="K19" s="658">
        <f t="shared" si="3"/>
        <v>-117.73131370000002</v>
      </c>
      <c r="L19" s="658">
        <v>105.47</v>
      </c>
      <c r="M19" s="658">
        <v>0</v>
      </c>
      <c r="O19" s="651">
        <f t="shared" si="4"/>
        <v>113.0790183678</v>
      </c>
      <c r="P19" s="312"/>
      <c r="Q19" s="312"/>
      <c r="R19" s="704"/>
    </row>
    <row r="20" spans="1:19" ht="15" x14ac:dyDescent="0.25">
      <c r="A20" s="657">
        <v>7</v>
      </c>
      <c r="B20" s="479" t="s">
        <v>902</v>
      </c>
      <c r="C20" s="658">
        <f>T6_FG_py_Utlsn!C18*3000/100000+'T6A_FG_Upy_Utlsn '!C18*3000/100000</f>
        <v>86.957154000000003</v>
      </c>
      <c r="D20" s="332">
        <v>3.899999967416079E-6</v>
      </c>
      <c r="E20" s="332">
        <v>73.02</v>
      </c>
      <c r="F20" s="658">
        <v>1261.4199999999998</v>
      </c>
      <c r="G20" s="658">
        <f t="shared" si="0"/>
        <v>37.842599999999997</v>
      </c>
      <c r="H20" s="658">
        <v>1261.4199999999998</v>
      </c>
      <c r="I20" s="658">
        <f t="shared" si="1"/>
        <v>37.842599999999997</v>
      </c>
      <c r="J20" s="658">
        <f t="shared" si="2"/>
        <v>0</v>
      </c>
      <c r="K20" s="658">
        <f t="shared" si="3"/>
        <v>35.177403899999966</v>
      </c>
      <c r="L20" s="658">
        <v>67.92</v>
      </c>
      <c r="M20" s="658">
        <v>0</v>
      </c>
      <c r="O20" s="651">
        <f t="shared" si="4"/>
        <v>73.017922213800006</v>
      </c>
      <c r="P20" s="312"/>
      <c r="Q20" s="312"/>
      <c r="R20" s="704"/>
    </row>
    <row r="21" spans="1:19" ht="15" x14ac:dyDescent="0.25">
      <c r="A21" s="657">
        <v>8</v>
      </c>
      <c r="B21" s="479" t="s">
        <v>903</v>
      </c>
      <c r="C21" s="658">
        <f>T6_FG_py_Utlsn!C19*3000/100000+'T6A_FG_Upy_Utlsn '!C19*3000/100000</f>
        <v>173.42872499999999</v>
      </c>
      <c r="D21" s="332">
        <v>-2.7600000009897485E-5</v>
      </c>
      <c r="E21" s="332">
        <v>145.63</v>
      </c>
      <c r="F21" s="658">
        <v>3614.384</v>
      </c>
      <c r="G21" s="658">
        <f t="shared" si="0"/>
        <v>108.43152000000001</v>
      </c>
      <c r="H21" s="658">
        <v>3614.384</v>
      </c>
      <c r="I21" s="658">
        <f t="shared" si="1"/>
        <v>108.43152000000001</v>
      </c>
      <c r="J21" s="658">
        <f t="shared" si="2"/>
        <v>0</v>
      </c>
      <c r="K21" s="658">
        <f t="shared" si="3"/>
        <v>37.198452399999979</v>
      </c>
      <c r="L21" s="658">
        <v>175.56</v>
      </c>
      <c r="M21" s="658">
        <v>0</v>
      </c>
      <c r="O21" s="651">
        <f t="shared" si="4"/>
        <v>145.62810038249998</v>
      </c>
      <c r="P21" s="312"/>
      <c r="Q21" s="312"/>
      <c r="R21" s="704"/>
    </row>
    <row r="22" spans="1:19" ht="15" x14ac:dyDescent="0.25">
      <c r="A22" s="657">
        <v>9</v>
      </c>
      <c r="B22" s="479" t="s">
        <v>904</v>
      </c>
      <c r="C22" s="658">
        <f>T6_FG_py_Utlsn!C20*3000/100000+'T6A_FG_Upy_Utlsn '!C20*3000/100000</f>
        <v>240.03723899999997</v>
      </c>
      <c r="D22" s="332">
        <v>2.5499999992462108E-5</v>
      </c>
      <c r="E22" s="332">
        <v>201.56</v>
      </c>
      <c r="F22" s="658">
        <v>4804.84</v>
      </c>
      <c r="G22" s="658">
        <f t="shared" si="0"/>
        <v>144.14519999999999</v>
      </c>
      <c r="H22" s="658">
        <v>4804.84</v>
      </c>
      <c r="I22" s="658">
        <f t="shared" si="1"/>
        <v>144.14519999999999</v>
      </c>
      <c r="J22" s="658">
        <f t="shared" si="2"/>
        <v>0</v>
      </c>
      <c r="K22" s="658">
        <f t="shared" si="3"/>
        <v>57.414825500000006</v>
      </c>
      <c r="L22" s="658">
        <v>450.04</v>
      </c>
      <c r="M22" s="658">
        <v>0</v>
      </c>
      <c r="O22" s="651">
        <f t="shared" si="4"/>
        <v>201.55926958829997</v>
      </c>
      <c r="P22" s="312"/>
      <c r="Q22" s="312"/>
      <c r="R22" s="704"/>
    </row>
    <row r="23" spans="1:19" ht="15" x14ac:dyDescent="0.25">
      <c r="A23" s="657">
        <v>10</v>
      </c>
      <c r="B23" s="479" t="s">
        <v>905</v>
      </c>
      <c r="C23" s="658">
        <f>T6_FG_py_Utlsn!C21*3000/100000+'T6A_FG_Upy_Utlsn '!C21*3000/100000</f>
        <v>82.399631999999997</v>
      </c>
      <c r="D23" s="332">
        <v>-1.460000004271933E-5</v>
      </c>
      <c r="E23" s="332">
        <v>69.19</v>
      </c>
      <c r="F23" s="658">
        <v>1919.7280000000001</v>
      </c>
      <c r="G23" s="658">
        <f t="shared" si="0"/>
        <v>57.591839999999998</v>
      </c>
      <c r="H23" s="658">
        <v>1919.7280000000001</v>
      </c>
      <c r="I23" s="658">
        <f t="shared" si="1"/>
        <v>57.591839999999998</v>
      </c>
      <c r="J23" s="658">
        <f t="shared" si="2"/>
        <v>0</v>
      </c>
      <c r="K23" s="658">
        <f t="shared" si="3"/>
        <v>11.598145399999957</v>
      </c>
      <c r="L23" s="658">
        <v>92.27</v>
      </c>
      <c r="M23" s="658">
        <v>0</v>
      </c>
      <c r="O23" s="651">
        <f t="shared" si="4"/>
        <v>69.190970990400004</v>
      </c>
      <c r="P23" s="312"/>
      <c r="Q23" s="312"/>
      <c r="R23" s="704"/>
    </row>
    <row r="24" spans="1:19" ht="15" x14ac:dyDescent="0.25">
      <c r="A24" s="657">
        <v>11</v>
      </c>
      <c r="B24" s="479" t="s">
        <v>906</v>
      </c>
      <c r="C24" s="658">
        <f>T6_FG_py_Utlsn!C22*3000/100000+'T6A_FG_Upy_Utlsn '!C22*3000/100000</f>
        <v>135.39437699999999</v>
      </c>
      <c r="D24" s="332">
        <v>2.5300000061179162E-5</v>
      </c>
      <c r="E24" s="332">
        <v>113.69</v>
      </c>
      <c r="F24" s="658">
        <v>2168.7455</v>
      </c>
      <c r="G24" s="658">
        <f t="shared" si="0"/>
        <v>65.062365</v>
      </c>
      <c r="H24" s="658">
        <v>2168.7455</v>
      </c>
      <c r="I24" s="658">
        <f t="shared" si="1"/>
        <v>65.062365</v>
      </c>
      <c r="J24" s="658">
        <f t="shared" si="2"/>
        <v>0</v>
      </c>
      <c r="K24" s="658">
        <f t="shared" si="3"/>
        <v>48.627660300000059</v>
      </c>
      <c r="L24" s="658">
        <v>295.77999999999997</v>
      </c>
      <c r="M24" s="658">
        <v>0</v>
      </c>
      <c r="O24" s="651">
        <f t="shared" si="4"/>
        <v>113.6906583669</v>
      </c>
      <c r="P24" s="312"/>
      <c r="Q24" s="312"/>
      <c r="R24" s="704"/>
    </row>
    <row r="25" spans="1:19" ht="15" x14ac:dyDescent="0.25">
      <c r="A25" s="657">
        <v>12</v>
      </c>
      <c r="B25" s="480" t="s">
        <v>907</v>
      </c>
      <c r="C25" s="658">
        <f>T6_FG_py_Utlsn!C23*3000/100000+'T6A_FG_Upy_Utlsn '!C23*3000/100000</f>
        <v>141.94699499999999</v>
      </c>
      <c r="D25" s="332">
        <v>-165.26988599999999</v>
      </c>
      <c r="E25" s="332">
        <v>119.19</v>
      </c>
      <c r="F25" s="658">
        <v>2892.9804000000004</v>
      </c>
      <c r="G25" s="658">
        <f t="shared" si="0"/>
        <v>86.789412000000013</v>
      </c>
      <c r="H25" s="658">
        <v>2892.9804000000004</v>
      </c>
      <c r="I25" s="658">
        <f t="shared" si="1"/>
        <v>86.789412000000013</v>
      </c>
      <c r="J25" s="658">
        <f t="shared" si="2"/>
        <v>0</v>
      </c>
      <c r="K25" s="658">
        <f t="shared" si="3"/>
        <v>-132.86929800000001</v>
      </c>
      <c r="L25" s="658">
        <v>291.26</v>
      </c>
      <c r="M25" s="658">
        <v>0</v>
      </c>
      <c r="O25" s="651">
        <f t="shared" si="4"/>
        <v>119.19289170149999</v>
      </c>
      <c r="P25" s="312"/>
      <c r="Q25" s="312"/>
      <c r="R25" s="704"/>
    </row>
    <row r="26" spans="1:19" ht="15" x14ac:dyDescent="0.25">
      <c r="A26" s="657">
        <v>13</v>
      </c>
      <c r="B26" s="479" t="s">
        <v>908</v>
      </c>
      <c r="C26" s="658">
        <f>T6_FG_py_Utlsn!C24*3000/100000+'T6A_FG_Upy_Utlsn '!C24*3000/100000</f>
        <v>63.377445000000009</v>
      </c>
      <c r="D26" s="332">
        <v>1.5199999978676715E-5</v>
      </c>
      <c r="E26" s="332">
        <v>53.22</v>
      </c>
      <c r="F26" s="658">
        <v>1174.0900000000001</v>
      </c>
      <c r="G26" s="658">
        <f t="shared" si="0"/>
        <v>35.222700000000003</v>
      </c>
      <c r="H26" s="658">
        <v>1174.0900000000001</v>
      </c>
      <c r="I26" s="658">
        <f t="shared" si="1"/>
        <v>35.222700000000003</v>
      </c>
      <c r="J26" s="658">
        <f t="shared" si="2"/>
        <v>0</v>
      </c>
      <c r="K26" s="658">
        <f t="shared" si="3"/>
        <v>17.997315199999974</v>
      </c>
      <c r="L26" s="658">
        <v>146.57</v>
      </c>
      <c r="M26" s="658">
        <v>0</v>
      </c>
      <c r="O26" s="651">
        <f t="shared" si="4"/>
        <v>53.218040566500008</v>
      </c>
      <c r="P26" s="312"/>
      <c r="Q26" s="312"/>
      <c r="R26" s="704"/>
    </row>
    <row r="27" spans="1:19" ht="15" x14ac:dyDescent="0.25">
      <c r="A27" s="657">
        <v>14</v>
      </c>
      <c r="B27" s="479" t="s">
        <v>909</v>
      </c>
      <c r="C27" s="658">
        <f>T6_FG_py_Utlsn!C25*3000/100000+'T6A_FG_Upy_Utlsn '!C25*3000/100000</f>
        <v>66.284855999999991</v>
      </c>
      <c r="D27" s="332">
        <v>-110.69265180000002</v>
      </c>
      <c r="E27" s="332">
        <v>55.77</v>
      </c>
      <c r="F27" s="658">
        <v>880.78800000000001</v>
      </c>
      <c r="G27" s="658">
        <f t="shared" si="0"/>
        <v>26.423639999999999</v>
      </c>
      <c r="H27" s="658">
        <v>880.78800000000001</v>
      </c>
      <c r="I27" s="658">
        <f t="shared" si="1"/>
        <v>26.423639999999999</v>
      </c>
      <c r="J27" s="658">
        <f t="shared" si="2"/>
        <v>0</v>
      </c>
      <c r="K27" s="658">
        <f t="shared" si="3"/>
        <v>-81.346291800000017</v>
      </c>
      <c r="L27" s="658">
        <v>121.12</v>
      </c>
      <c r="M27" s="658">
        <v>0</v>
      </c>
      <c r="O27" s="651">
        <f t="shared" si="4"/>
        <v>55.659393583199993</v>
      </c>
      <c r="P27" s="312"/>
      <c r="Q27" s="312"/>
      <c r="R27" s="704"/>
    </row>
    <row r="28" spans="1:19" ht="15" x14ac:dyDescent="0.25">
      <c r="A28" s="657">
        <v>15</v>
      </c>
      <c r="B28" s="479" t="s">
        <v>910</v>
      </c>
      <c r="C28" s="658">
        <f>T6_FG_py_Utlsn!C26*3000/100000+'T6A_FG_Upy_Utlsn '!C26*3000/100000</f>
        <v>144.86458199999998</v>
      </c>
      <c r="D28" s="332">
        <v>-78.250856300000024</v>
      </c>
      <c r="E28" s="332">
        <v>121.64</v>
      </c>
      <c r="F28" s="658">
        <v>2877.7</v>
      </c>
      <c r="G28" s="658">
        <f t="shared" si="0"/>
        <v>86.331000000000003</v>
      </c>
      <c r="H28" s="658">
        <v>2877.7</v>
      </c>
      <c r="I28" s="658">
        <f t="shared" si="1"/>
        <v>86.331000000000003</v>
      </c>
      <c r="J28" s="658">
        <f t="shared" si="2"/>
        <v>0</v>
      </c>
      <c r="K28" s="658">
        <f t="shared" si="3"/>
        <v>-42.941856300000026</v>
      </c>
      <c r="L28" s="658">
        <v>247.09</v>
      </c>
      <c r="M28" s="658">
        <v>0</v>
      </c>
      <c r="O28" s="651">
        <f t="shared" si="4"/>
        <v>121.64278950539999</v>
      </c>
      <c r="P28" s="312"/>
      <c r="Q28" s="312"/>
      <c r="R28" s="704"/>
    </row>
    <row r="29" spans="1:19" ht="15" x14ac:dyDescent="0.25">
      <c r="A29" s="657">
        <v>16</v>
      </c>
      <c r="B29" s="479" t="s">
        <v>911</v>
      </c>
      <c r="C29" s="658">
        <f>T6_FG_py_Utlsn!C27*3000/100000+'T6A_FG_Upy_Utlsn '!C27*3000/100000</f>
        <v>197.16216600000001</v>
      </c>
      <c r="D29" s="332">
        <v>-2.6900000051455208E-5</v>
      </c>
      <c r="E29" s="332">
        <v>165.56</v>
      </c>
      <c r="F29" s="658">
        <v>3584.1500000000005</v>
      </c>
      <c r="G29" s="658">
        <f t="shared" si="0"/>
        <v>107.52450000000002</v>
      </c>
      <c r="H29" s="658">
        <v>3584.1500000000005</v>
      </c>
      <c r="I29" s="658">
        <f t="shared" si="1"/>
        <v>107.52450000000002</v>
      </c>
      <c r="J29" s="658">
        <f t="shared" si="2"/>
        <v>0</v>
      </c>
      <c r="K29" s="658">
        <f t="shared" si="3"/>
        <v>58.035473099999933</v>
      </c>
      <c r="L29" s="658">
        <v>350.4</v>
      </c>
      <c r="M29" s="658">
        <v>0</v>
      </c>
      <c r="O29" s="651">
        <f t="shared" si="4"/>
        <v>165.55707079020002</v>
      </c>
      <c r="P29" s="312"/>
      <c r="Q29" s="312"/>
      <c r="R29" s="704"/>
    </row>
    <row r="30" spans="1:19" ht="15" x14ac:dyDescent="0.25">
      <c r="A30" s="657">
        <v>17</v>
      </c>
      <c r="B30" s="479" t="s">
        <v>912</v>
      </c>
      <c r="C30" s="658">
        <f>T6_FG_py_Utlsn!C28*3000/100000+'T6A_FG_Upy_Utlsn '!C28*3000/100000</f>
        <v>147.613497</v>
      </c>
      <c r="D30" s="332">
        <v>2.0100000000127238E-3</v>
      </c>
      <c r="E30" s="332">
        <v>123.95</v>
      </c>
      <c r="F30" s="658">
        <v>2731.8</v>
      </c>
      <c r="G30" s="658">
        <f t="shared" si="0"/>
        <v>81.954000000000008</v>
      </c>
      <c r="H30" s="658">
        <v>2731.8</v>
      </c>
      <c r="I30" s="658">
        <f t="shared" si="1"/>
        <v>81.954000000000008</v>
      </c>
      <c r="J30" s="658">
        <f t="shared" si="2"/>
        <v>0</v>
      </c>
      <c r="K30" s="658">
        <f t="shared" si="3"/>
        <v>41.998010000000008</v>
      </c>
      <c r="L30" s="658">
        <v>263.74</v>
      </c>
      <c r="M30" s="658">
        <v>0</v>
      </c>
      <c r="O30" s="651">
        <f t="shared" si="4"/>
        <v>123.95105343089999</v>
      </c>
      <c r="P30" s="312"/>
      <c r="Q30" s="312"/>
      <c r="R30" s="704"/>
    </row>
    <row r="31" spans="1:19" s="659" customFormat="1" ht="15" x14ac:dyDescent="0.25">
      <c r="A31" s="657">
        <v>18</v>
      </c>
      <c r="B31" s="479" t="s">
        <v>913</v>
      </c>
      <c r="C31" s="658">
        <f>T6_FG_py_Utlsn!C29*3000/100000+'T6A_FG_Upy_Utlsn '!C29*3000/100000</f>
        <v>126.21082199999998</v>
      </c>
      <c r="D31" s="332">
        <v>1.7199999945205491E-5</v>
      </c>
      <c r="E31" s="332">
        <v>105.98</v>
      </c>
      <c r="F31" s="658">
        <v>2688.163</v>
      </c>
      <c r="G31" s="658">
        <f t="shared" si="0"/>
        <v>80.644890000000004</v>
      </c>
      <c r="H31" s="658">
        <v>2688.163</v>
      </c>
      <c r="I31" s="658">
        <f t="shared" si="1"/>
        <v>80.644890000000004</v>
      </c>
      <c r="J31" s="658">
        <f t="shared" si="2"/>
        <v>0</v>
      </c>
      <c r="K31" s="658">
        <f t="shared" si="3"/>
        <v>25.335127199999945</v>
      </c>
      <c r="L31" s="658">
        <v>258.52999999999997</v>
      </c>
      <c r="M31" s="658">
        <v>0</v>
      </c>
      <c r="O31" s="651">
        <f t="shared" si="4"/>
        <v>105.97922723339998</v>
      </c>
      <c r="P31" s="312"/>
      <c r="Q31" s="312"/>
      <c r="R31" s="704"/>
      <c r="S31" s="651"/>
    </row>
    <row r="32" spans="1:19" s="659" customFormat="1" ht="15" x14ac:dyDescent="0.25">
      <c r="A32" s="657">
        <v>19</v>
      </c>
      <c r="B32" s="479" t="s">
        <v>914</v>
      </c>
      <c r="C32" s="658">
        <f>T6_FG_py_Utlsn!C30*3000/100000+'T6A_FG_Upy_Utlsn '!C30*3000/100000</f>
        <v>107.61864299999999</v>
      </c>
      <c r="D32" s="332">
        <v>-15.213406700000036</v>
      </c>
      <c r="E32" s="332">
        <v>90.37</v>
      </c>
      <c r="F32" s="658">
        <v>1967.54</v>
      </c>
      <c r="G32" s="658">
        <f t="shared" si="0"/>
        <v>59.026200000000003</v>
      </c>
      <c r="H32" s="658">
        <v>1967.54</v>
      </c>
      <c r="I32" s="658">
        <f t="shared" si="1"/>
        <v>59.026200000000003</v>
      </c>
      <c r="J32" s="658">
        <f t="shared" si="2"/>
        <v>0</v>
      </c>
      <c r="K32" s="658">
        <f t="shared" si="3"/>
        <v>16.130393299999966</v>
      </c>
      <c r="L32" s="658">
        <v>195.06</v>
      </c>
      <c r="M32" s="658">
        <v>0</v>
      </c>
      <c r="O32" s="651">
        <f t="shared" si="4"/>
        <v>90.367374527099997</v>
      </c>
      <c r="P32" s="312"/>
      <c r="Q32" s="312"/>
      <c r="R32" s="704"/>
      <c r="S32" s="651"/>
    </row>
    <row r="33" spans="1:18" ht="15.75" customHeight="1" x14ac:dyDescent="0.25">
      <c r="A33" s="657">
        <v>20</v>
      </c>
      <c r="B33" s="479" t="s">
        <v>915</v>
      </c>
      <c r="C33" s="658">
        <f>T6_FG_py_Utlsn!C31*3000/100000+'T6A_FG_Upy_Utlsn '!C31*3000/100000</f>
        <v>75.894437999999994</v>
      </c>
      <c r="D33" s="332">
        <v>2.3900000002186061E-5</v>
      </c>
      <c r="E33" s="332">
        <v>63.73</v>
      </c>
      <c r="F33" s="658">
        <v>1014.3030000000001</v>
      </c>
      <c r="G33" s="658">
        <f t="shared" si="0"/>
        <v>30.429090000000006</v>
      </c>
      <c r="H33" s="658">
        <v>1014.3030000000001</v>
      </c>
      <c r="I33" s="658">
        <f t="shared" si="1"/>
        <v>30.429090000000006</v>
      </c>
      <c r="J33" s="658">
        <f t="shared" si="2"/>
        <v>0</v>
      </c>
      <c r="K33" s="658">
        <f t="shared" si="3"/>
        <v>33.30093389999999</v>
      </c>
      <c r="L33" s="658">
        <v>122.09</v>
      </c>
      <c r="M33" s="658">
        <v>0</v>
      </c>
      <c r="O33" s="651">
        <f t="shared" si="4"/>
        <v>63.728559588599992</v>
      </c>
      <c r="P33" s="312"/>
      <c r="Q33" s="312"/>
      <c r="R33" s="704"/>
    </row>
    <row r="34" spans="1:18" ht="15.75" customHeight="1" x14ac:dyDescent="0.25">
      <c r="A34" s="657">
        <v>21</v>
      </c>
      <c r="B34" s="479" t="s">
        <v>916</v>
      </c>
      <c r="C34" s="658">
        <f>T6_FG_py_Utlsn!C32*3000/100000+'T6A_FG_Upy_Utlsn '!C32*3000/100000</f>
        <v>101.923416</v>
      </c>
      <c r="D34" s="332">
        <v>-33.866589999999974</v>
      </c>
      <c r="E34" s="332">
        <v>85.59</v>
      </c>
      <c r="F34" s="658">
        <v>2678.4917499999997</v>
      </c>
      <c r="G34" s="658">
        <f t="shared" si="0"/>
        <v>80.354752499999989</v>
      </c>
      <c r="H34" s="658">
        <v>2678.4917499999997</v>
      </c>
      <c r="I34" s="658">
        <f t="shared" si="1"/>
        <v>80.354752499999989</v>
      </c>
      <c r="J34" s="658">
        <f t="shared" si="2"/>
        <v>0</v>
      </c>
      <c r="K34" s="658">
        <f t="shared" si="3"/>
        <v>-28.63134249999996</v>
      </c>
      <c r="L34" s="658">
        <v>190.98</v>
      </c>
      <c r="M34" s="658">
        <v>0</v>
      </c>
      <c r="O34" s="651">
        <f t="shared" si="4"/>
        <v>85.585092415200009</v>
      </c>
      <c r="P34" s="312"/>
      <c r="Q34" s="312"/>
      <c r="R34" s="704"/>
    </row>
    <row r="35" spans="1:18" ht="15.75" customHeight="1" x14ac:dyDescent="0.25">
      <c r="A35" s="657">
        <v>22</v>
      </c>
      <c r="B35" s="479" t="s">
        <v>917</v>
      </c>
      <c r="C35" s="658">
        <f>T6_FG_py_Utlsn!C33*3000/100000+'T6A_FG_Upy_Utlsn '!C33*3000/100000</f>
        <v>69.339570000000009</v>
      </c>
      <c r="D35" s="332">
        <v>1.9499999964978088E-5</v>
      </c>
      <c r="E35" s="332">
        <v>58.22</v>
      </c>
      <c r="F35" s="658">
        <v>1186.7710000000002</v>
      </c>
      <c r="G35" s="658">
        <f t="shared" si="0"/>
        <v>35.603130000000007</v>
      </c>
      <c r="H35" s="658">
        <v>1186.7710000000002</v>
      </c>
      <c r="I35" s="658">
        <f t="shared" si="1"/>
        <v>35.603130000000007</v>
      </c>
      <c r="J35" s="658">
        <f t="shared" si="2"/>
        <v>0</v>
      </c>
      <c r="K35" s="658">
        <f t="shared" si="3"/>
        <v>22.616889499999957</v>
      </c>
      <c r="L35" s="658">
        <v>118.51</v>
      </c>
      <c r="M35" s="658">
        <v>0</v>
      </c>
      <c r="O35" s="651">
        <f t="shared" si="4"/>
        <v>58.224436929000007</v>
      </c>
      <c r="P35" s="312"/>
      <c r="Q35" s="312"/>
      <c r="R35" s="704"/>
    </row>
    <row r="36" spans="1:18" ht="15.75" customHeight="1" x14ac:dyDescent="0.25">
      <c r="A36" s="657">
        <v>23</v>
      </c>
      <c r="B36" s="479" t="s">
        <v>918</v>
      </c>
      <c r="C36" s="658">
        <f>T6_FG_py_Utlsn!C34*3000/100000+'T6A_FG_Upy_Utlsn '!C34*3000/100000</f>
        <v>128.299083</v>
      </c>
      <c r="D36" s="332">
        <v>-98.4480006</v>
      </c>
      <c r="E36" s="332">
        <v>107.73</v>
      </c>
      <c r="F36" s="658">
        <v>2542.06</v>
      </c>
      <c r="G36" s="658">
        <f t="shared" si="0"/>
        <v>76.261799999999994</v>
      </c>
      <c r="H36" s="658">
        <v>2542.06</v>
      </c>
      <c r="I36" s="658">
        <f t="shared" si="1"/>
        <v>76.261799999999994</v>
      </c>
      <c r="J36" s="658">
        <f t="shared" si="2"/>
        <v>0</v>
      </c>
      <c r="K36" s="658">
        <f t="shared" si="3"/>
        <v>-66.97980059999999</v>
      </c>
      <c r="L36" s="658">
        <v>204.37</v>
      </c>
      <c r="M36" s="658">
        <v>0</v>
      </c>
      <c r="O36" s="651">
        <f t="shared" si="4"/>
        <v>107.73273999509999</v>
      </c>
      <c r="P36" s="312"/>
      <c r="Q36" s="312"/>
      <c r="R36" s="704"/>
    </row>
    <row r="37" spans="1:18" ht="15.75" customHeight="1" x14ac:dyDescent="0.25">
      <c r="A37" s="657">
        <v>24</v>
      </c>
      <c r="B37" s="480" t="s">
        <v>919</v>
      </c>
      <c r="C37" s="658">
        <f>T6_FG_py_Utlsn!C35*3000/100000+'T6A_FG_Upy_Utlsn '!C35*3000/100000</f>
        <v>174.619158</v>
      </c>
      <c r="D37" s="332">
        <v>-6.6836328999999637</v>
      </c>
      <c r="E37" s="332">
        <v>146.63</v>
      </c>
      <c r="F37" s="658">
        <v>3389.8577999999998</v>
      </c>
      <c r="G37" s="658">
        <f t="shared" si="0"/>
        <v>101.69573399999999</v>
      </c>
      <c r="H37" s="658">
        <v>3389.8577999999998</v>
      </c>
      <c r="I37" s="658">
        <f t="shared" si="1"/>
        <v>101.69573399999999</v>
      </c>
      <c r="J37" s="658">
        <f t="shared" si="2"/>
        <v>0</v>
      </c>
      <c r="K37" s="658">
        <f t="shared" si="3"/>
        <v>38.250633100000044</v>
      </c>
      <c r="L37" s="658">
        <v>216.93</v>
      </c>
      <c r="M37" s="658">
        <v>0</v>
      </c>
      <c r="O37" s="651">
        <f t="shared" si="4"/>
        <v>146.62770697260001</v>
      </c>
      <c r="P37" s="312"/>
      <c r="Q37" s="312"/>
      <c r="R37" s="704"/>
    </row>
    <row r="38" spans="1:18" s="662" customFormat="1" x14ac:dyDescent="0.2">
      <c r="A38" s="947" t="s">
        <v>91</v>
      </c>
      <c r="B38" s="947"/>
      <c r="C38" s="660">
        <f>SUM(C14:C37)</f>
        <v>2893.0233479999997</v>
      </c>
      <c r="D38" s="660">
        <f t="shared" ref="D38:M38" si="5">SUM(D14:D37)</f>
        <v>-677.75354740000034</v>
      </c>
      <c r="E38" s="661">
        <f t="shared" si="5"/>
        <v>2429.3900000000003</v>
      </c>
      <c r="F38" s="660">
        <f t="shared" si="5"/>
        <v>55643.816850000003</v>
      </c>
      <c r="G38" s="660">
        <f t="shared" si="5"/>
        <v>1669.3145054999998</v>
      </c>
      <c r="H38" s="660">
        <f t="shared" si="5"/>
        <v>55643.816850000003</v>
      </c>
      <c r="I38" s="660">
        <f t="shared" si="5"/>
        <v>1669.3145054999998</v>
      </c>
      <c r="J38" s="660">
        <f t="shared" si="5"/>
        <v>0</v>
      </c>
      <c r="K38" s="660">
        <f t="shared" si="5"/>
        <v>82.321947099999718</v>
      </c>
      <c r="L38" s="660">
        <f t="shared" si="5"/>
        <v>4471.3</v>
      </c>
      <c r="M38" s="660">
        <f t="shared" si="5"/>
        <v>0</v>
      </c>
    </row>
    <row r="40" spans="1:18" x14ac:dyDescent="0.2">
      <c r="A40" s="663"/>
      <c r="B40" s="663"/>
      <c r="C40" s="663">
        <v>2429.39</v>
      </c>
      <c r="D40" s="663"/>
      <c r="E40" s="663"/>
      <c r="F40" s="663"/>
      <c r="G40" s="663"/>
      <c r="H40" s="663"/>
      <c r="I40" s="663"/>
      <c r="J40" s="663"/>
      <c r="K40" s="663"/>
    </row>
    <row r="41" spans="1:18" ht="15.75" customHeight="1" x14ac:dyDescent="0.2">
      <c r="A41" s="337" t="s">
        <v>22</v>
      </c>
      <c r="B41" s="663"/>
      <c r="C41" s="663">
        <f>C40/C38*100</f>
        <v>83.974088964041087</v>
      </c>
      <c r="D41" s="663"/>
      <c r="E41" s="663"/>
      <c r="F41" s="663"/>
      <c r="G41" s="663"/>
      <c r="H41" s="663"/>
      <c r="I41" s="663"/>
      <c r="J41" s="663"/>
      <c r="K41" s="663"/>
    </row>
    <row r="42" spans="1:18" ht="15.75" customHeight="1" x14ac:dyDescent="0.2">
      <c r="A42" s="695" t="s">
        <v>12</v>
      </c>
      <c r="B42" s="695"/>
      <c r="C42" s="695"/>
      <c r="D42" s="695"/>
      <c r="E42" s="695"/>
      <c r="F42" s="695"/>
      <c r="G42" s="695"/>
      <c r="H42" s="695"/>
      <c r="I42" s="337" t="s">
        <v>12</v>
      </c>
      <c r="J42" s="948" t="s">
        <v>1125</v>
      </c>
      <c r="K42" s="948"/>
      <c r="L42" s="664"/>
      <c r="M42" s="664"/>
      <c r="N42" s="333"/>
    </row>
    <row r="43" spans="1:18" ht="15.75" customHeight="1" x14ac:dyDescent="0.2">
      <c r="A43" s="664"/>
      <c r="B43" s="664"/>
      <c r="C43" s="664"/>
      <c r="D43" s="664"/>
      <c r="E43" s="664"/>
      <c r="F43" s="664"/>
      <c r="G43" s="664"/>
      <c r="H43" s="664"/>
      <c r="I43" s="949" t="s">
        <v>13</v>
      </c>
      <c r="J43" s="949"/>
      <c r="K43" s="949"/>
      <c r="L43" s="949"/>
      <c r="M43" s="664"/>
      <c r="N43" s="333"/>
    </row>
    <row r="44" spans="1:18" ht="12.75" customHeight="1" x14ac:dyDescent="0.2">
      <c r="A44" s="943" t="s">
        <v>19</v>
      </c>
      <c r="B44" s="943"/>
      <c r="C44" s="943"/>
      <c r="D44" s="943"/>
      <c r="E44" s="943"/>
      <c r="F44" s="943"/>
      <c r="G44" s="943"/>
      <c r="H44" s="943"/>
      <c r="I44" s="943"/>
      <c r="J44" s="943"/>
      <c r="K44" s="943"/>
      <c r="L44" s="664"/>
      <c r="M44" s="664"/>
      <c r="N44" s="333"/>
    </row>
    <row r="45" spans="1:18" x14ac:dyDescent="0.2">
      <c r="A45" s="337"/>
      <c r="B45" s="337"/>
      <c r="C45" s="337"/>
      <c r="D45" s="337"/>
      <c r="E45" s="337"/>
      <c r="F45" s="337"/>
      <c r="G45" s="333"/>
      <c r="H45" s="333"/>
      <c r="I45" s="696" t="s">
        <v>84</v>
      </c>
      <c r="J45" s="333"/>
      <c r="K45" s="696"/>
      <c r="L45" s="696"/>
      <c r="M45" s="696"/>
      <c r="N45" s="696"/>
    </row>
    <row r="46" spans="1:18" x14ac:dyDescent="0.2">
      <c r="A46" s="337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</row>
  </sheetData>
  <mergeCells count="21">
    <mergeCell ref="M10:M12"/>
    <mergeCell ref="A10:A12"/>
    <mergeCell ref="J42:K42"/>
    <mergeCell ref="I43:L43"/>
    <mergeCell ref="K1:M1"/>
    <mergeCell ref="B3:K3"/>
    <mergeCell ref="B4:K4"/>
    <mergeCell ref="C10:C12"/>
    <mergeCell ref="J10:J12"/>
    <mergeCell ref="L7:M7"/>
    <mergeCell ref="F10:G11"/>
    <mergeCell ref="G9:M9"/>
    <mergeCell ref="A44:K44"/>
    <mergeCell ref="B10:B12"/>
    <mergeCell ref="A8:B8"/>
    <mergeCell ref="L10:L12"/>
    <mergeCell ref="D10:D12"/>
    <mergeCell ref="E10:E12"/>
    <mergeCell ref="H10:I11"/>
    <mergeCell ref="K10:K12"/>
    <mergeCell ref="A38:B38"/>
  </mergeCells>
  <printOptions horizontalCentered="1"/>
  <pageMargins left="0.3" right="0.21" top="0.23622047244094491" bottom="0" header="0.31496062992125984" footer="0.21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46"/>
  <sheetViews>
    <sheetView topLeftCell="A7" zoomScaleNormal="100" zoomScaleSheetLayoutView="90" workbookViewId="0">
      <selection activeCell="C12" sqref="C12:L36"/>
    </sheetView>
  </sheetViews>
  <sheetFormatPr defaultColWidth="9.140625" defaultRowHeight="12.75" x14ac:dyDescent="0.2"/>
  <cols>
    <col min="1" max="1" width="5.5703125" style="15" customWidth="1"/>
    <col min="2" max="2" width="15.42578125" style="15" bestFit="1" customWidth="1"/>
    <col min="3" max="3" width="10.5703125" style="15" customWidth="1"/>
    <col min="4" max="4" width="11.2851562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3"/>
      <c r="E1" s="33"/>
      <c r="F1" s="33"/>
      <c r="G1" s="33"/>
      <c r="H1" s="33"/>
      <c r="I1" s="33"/>
      <c r="J1" s="33"/>
      <c r="K1" s="33"/>
      <c r="L1" s="940" t="s">
        <v>430</v>
      </c>
      <c r="M1" s="940"/>
      <c r="N1" s="940"/>
      <c r="O1" s="40"/>
      <c r="P1" s="40"/>
    </row>
    <row r="2" spans="1:19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42"/>
      <c r="N2" s="42"/>
      <c r="O2" s="42"/>
      <c r="P2" s="42"/>
    </row>
    <row r="3" spans="1:19" customFormat="1" ht="20.25" x14ac:dyDescent="0.3">
      <c r="A3" s="942" t="s">
        <v>740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41"/>
      <c r="N3" s="41"/>
      <c r="O3" s="41"/>
      <c r="P3" s="41"/>
    </row>
    <row r="4" spans="1:19" customFormat="1" ht="10.5" customHeight="1" x14ac:dyDescent="0.2"/>
    <row r="5" spans="1:19" ht="19.5" customHeight="1" x14ac:dyDescent="0.25">
      <c r="A5" s="931" t="s">
        <v>808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x14ac:dyDescent="0.2">
      <c r="A7" s="820" t="s">
        <v>920</v>
      </c>
      <c r="B7" s="820"/>
      <c r="F7" s="941" t="s">
        <v>20</v>
      </c>
      <c r="G7" s="941"/>
      <c r="H7" s="941"/>
      <c r="I7" s="941"/>
      <c r="J7" s="941"/>
      <c r="K7" s="941"/>
      <c r="L7" s="941"/>
    </row>
    <row r="8" spans="1:19" x14ac:dyDescent="0.2">
      <c r="A8" s="14"/>
      <c r="F8" s="16"/>
      <c r="G8" s="92"/>
      <c r="H8" s="92"/>
      <c r="I8" s="921" t="s">
        <v>830</v>
      </c>
      <c r="J8" s="921"/>
      <c r="K8" s="921"/>
      <c r="L8" s="921"/>
    </row>
    <row r="9" spans="1:19" s="14" customFormat="1" x14ac:dyDescent="0.2">
      <c r="A9" s="834" t="s">
        <v>2</v>
      </c>
      <c r="B9" s="834" t="s">
        <v>3</v>
      </c>
      <c r="C9" s="827" t="s">
        <v>26</v>
      </c>
      <c r="D9" s="828"/>
      <c r="E9" s="828"/>
      <c r="F9" s="828"/>
      <c r="G9" s="828"/>
      <c r="H9" s="827" t="s">
        <v>27</v>
      </c>
      <c r="I9" s="828"/>
      <c r="J9" s="828"/>
      <c r="K9" s="828"/>
      <c r="L9" s="828"/>
      <c r="R9" s="27"/>
      <c r="S9" s="28"/>
    </row>
    <row r="10" spans="1:19" s="14" customFormat="1" ht="63.75" x14ac:dyDescent="0.2">
      <c r="A10" s="834"/>
      <c r="B10" s="834"/>
      <c r="C10" s="5" t="s">
        <v>849</v>
      </c>
      <c r="D10" s="5" t="s">
        <v>822</v>
      </c>
      <c r="E10" s="5" t="s">
        <v>70</v>
      </c>
      <c r="F10" s="5" t="s">
        <v>71</v>
      </c>
      <c r="G10" s="5" t="s">
        <v>364</v>
      </c>
      <c r="H10" s="5" t="s">
        <v>849</v>
      </c>
      <c r="I10" s="5" t="s">
        <v>822</v>
      </c>
      <c r="J10" s="5" t="s">
        <v>70</v>
      </c>
      <c r="K10" s="5" t="s">
        <v>71</v>
      </c>
      <c r="L10" s="5" t="s">
        <v>365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7">
        <v>1</v>
      </c>
      <c r="B12" s="176" t="s">
        <v>896</v>
      </c>
      <c r="C12" s="955" t="s">
        <v>949</v>
      </c>
      <c r="D12" s="956"/>
      <c r="E12" s="956"/>
      <c r="F12" s="956"/>
      <c r="G12" s="956"/>
      <c r="H12" s="956"/>
      <c r="I12" s="956"/>
      <c r="J12" s="956"/>
      <c r="K12" s="956"/>
      <c r="L12" s="957"/>
    </row>
    <row r="13" spans="1:19" x14ac:dyDescent="0.2">
      <c r="A13" s="17">
        <v>2</v>
      </c>
      <c r="B13" s="176" t="s">
        <v>897</v>
      </c>
      <c r="C13" s="958"/>
      <c r="D13" s="959"/>
      <c r="E13" s="959"/>
      <c r="F13" s="959"/>
      <c r="G13" s="959"/>
      <c r="H13" s="959"/>
      <c r="I13" s="959"/>
      <c r="J13" s="959"/>
      <c r="K13" s="959"/>
      <c r="L13" s="960"/>
    </row>
    <row r="14" spans="1:19" x14ac:dyDescent="0.2">
      <c r="A14" s="17">
        <v>3</v>
      </c>
      <c r="B14" s="176" t="s">
        <v>898</v>
      </c>
      <c r="C14" s="958"/>
      <c r="D14" s="959"/>
      <c r="E14" s="959"/>
      <c r="F14" s="959"/>
      <c r="G14" s="959"/>
      <c r="H14" s="959"/>
      <c r="I14" s="959"/>
      <c r="J14" s="959"/>
      <c r="K14" s="959"/>
      <c r="L14" s="960"/>
    </row>
    <row r="15" spans="1:19" x14ac:dyDescent="0.2">
      <c r="A15" s="17">
        <v>4</v>
      </c>
      <c r="B15" s="176" t="s">
        <v>899</v>
      </c>
      <c r="C15" s="958"/>
      <c r="D15" s="959"/>
      <c r="E15" s="959"/>
      <c r="F15" s="959"/>
      <c r="G15" s="959"/>
      <c r="H15" s="959"/>
      <c r="I15" s="959"/>
      <c r="J15" s="959"/>
      <c r="K15" s="959"/>
      <c r="L15" s="960"/>
    </row>
    <row r="16" spans="1:19" x14ac:dyDescent="0.2">
      <c r="A16" s="17">
        <v>5</v>
      </c>
      <c r="B16" s="176" t="s">
        <v>900</v>
      </c>
      <c r="C16" s="958"/>
      <c r="D16" s="959"/>
      <c r="E16" s="959"/>
      <c r="F16" s="959"/>
      <c r="G16" s="959"/>
      <c r="H16" s="959"/>
      <c r="I16" s="959"/>
      <c r="J16" s="959"/>
      <c r="K16" s="959"/>
      <c r="L16" s="960"/>
    </row>
    <row r="17" spans="1:12" x14ac:dyDescent="0.2">
      <c r="A17" s="17">
        <v>6</v>
      </c>
      <c r="B17" s="176" t="s">
        <v>901</v>
      </c>
      <c r="C17" s="958"/>
      <c r="D17" s="959"/>
      <c r="E17" s="959"/>
      <c r="F17" s="959"/>
      <c r="G17" s="959"/>
      <c r="H17" s="959"/>
      <c r="I17" s="959"/>
      <c r="J17" s="959"/>
      <c r="K17" s="959"/>
      <c r="L17" s="960"/>
    </row>
    <row r="18" spans="1:12" x14ac:dyDescent="0.2">
      <c r="A18" s="17">
        <v>7</v>
      </c>
      <c r="B18" s="176" t="s">
        <v>902</v>
      </c>
      <c r="C18" s="958"/>
      <c r="D18" s="959"/>
      <c r="E18" s="959"/>
      <c r="F18" s="959"/>
      <c r="G18" s="959"/>
      <c r="H18" s="959"/>
      <c r="I18" s="959"/>
      <c r="J18" s="959"/>
      <c r="K18" s="959"/>
      <c r="L18" s="960"/>
    </row>
    <row r="19" spans="1:12" x14ac:dyDescent="0.2">
      <c r="A19" s="17">
        <v>8</v>
      </c>
      <c r="B19" s="176" t="s">
        <v>903</v>
      </c>
      <c r="C19" s="958"/>
      <c r="D19" s="959"/>
      <c r="E19" s="959"/>
      <c r="F19" s="959"/>
      <c r="G19" s="959"/>
      <c r="H19" s="959"/>
      <c r="I19" s="959"/>
      <c r="J19" s="959"/>
      <c r="K19" s="959"/>
      <c r="L19" s="960"/>
    </row>
    <row r="20" spans="1:12" x14ac:dyDescent="0.2">
      <c r="A20" s="17">
        <v>9</v>
      </c>
      <c r="B20" s="176" t="s">
        <v>904</v>
      </c>
      <c r="C20" s="958"/>
      <c r="D20" s="959"/>
      <c r="E20" s="959"/>
      <c r="F20" s="959"/>
      <c r="G20" s="959"/>
      <c r="H20" s="959"/>
      <c r="I20" s="959"/>
      <c r="J20" s="959"/>
      <c r="K20" s="959"/>
      <c r="L20" s="960"/>
    </row>
    <row r="21" spans="1:12" x14ac:dyDescent="0.2">
      <c r="A21" s="17">
        <v>10</v>
      </c>
      <c r="B21" s="176" t="s">
        <v>905</v>
      </c>
      <c r="C21" s="958"/>
      <c r="D21" s="959"/>
      <c r="E21" s="959"/>
      <c r="F21" s="959"/>
      <c r="G21" s="959"/>
      <c r="H21" s="959"/>
      <c r="I21" s="959"/>
      <c r="J21" s="959"/>
      <c r="K21" s="959"/>
      <c r="L21" s="960"/>
    </row>
    <row r="22" spans="1:12" x14ac:dyDescent="0.2">
      <c r="A22" s="17">
        <v>11</v>
      </c>
      <c r="B22" s="176" t="s">
        <v>906</v>
      </c>
      <c r="C22" s="958"/>
      <c r="D22" s="959"/>
      <c r="E22" s="959"/>
      <c r="F22" s="959"/>
      <c r="G22" s="959"/>
      <c r="H22" s="959"/>
      <c r="I22" s="959"/>
      <c r="J22" s="959"/>
      <c r="K22" s="959"/>
      <c r="L22" s="960"/>
    </row>
    <row r="23" spans="1:12" x14ac:dyDescent="0.2">
      <c r="A23" s="17">
        <v>12</v>
      </c>
      <c r="B23" s="269" t="s">
        <v>907</v>
      </c>
      <c r="C23" s="958"/>
      <c r="D23" s="959"/>
      <c r="E23" s="959"/>
      <c r="F23" s="959"/>
      <c r="G23" s="959"/>
      <c r="H23" s="959"/>
      <c r="I23" s="959"/>
      <c r="J23" s="959"/>
      <c r="K23" s="959"/>
      <c r="L23" s="960"/>
    </row>
    <row r="24" spans="1:12" x14ac:dyDescent="0.2">
      <c r="A24" s="17">
        <v>13</v>
      </c>
      <c r="B24" s="176" t="s">
        <v>908</v>
      </c>
      <c r="C24" s="958"/>
      <c r="D24" s="959"/>
      <c r="E24" s="959"/>
      <c r="F24" s="959"/>
      <c r="G24" s="959"/>
      <c r="H24" s="959"/>
      <c r="I24" s="959"/>
      <c r="J24" s="959"/>
      <c r="K24" s="959"/>
      <c r="L24" s="960"/>
    </row>
    <row r="25" spans="1:12" x14ac:dyDescent="0.2">
      <c r="A25" s="17">
        <v>14</v>
      </c>
      <c r="B25" s="176" t="s">
        <v>909</v>
      </c>
      <c r="C25" s="958"/>
      <c r="D25" s="959"/>
      <c r="E25" s="959"/>
      <c r="F25" s="959"/>
      <c r="G25" s="959"/>
      <c r="H25" s="959"/>
      <c r="I25" s="959"/>
      <c r="J25" s="959"/>
      <c r="K25" s="959"/>
      <c r="L25" s="960"/>
    </row>
    <row r="26" spans="1:12" x14ac:dyDescent="0.2">
      <c r="A26" s="17">
        <v>15</v>
      </c>
      <c r="B26" s="176" t="s">
        <v>910</v>
      </c>
      <c r="C26" s="958"/>
      <c r="D26" s="959"/>
      <c r="E26" s="959"/>
      <c r="F26" s="959"/>
      <c r="G26" s="959"/>
      <c r="H26" s="959"/>
      <c r="I26" s="959"/>
      <c r="J26" s="959"/>
      <c r="K26" s="959"/>
      <c r="L26" s="960"/>
    </row>
    <row r="27" spans="1:12" x14ac:dyDescent="0.2">
      <c r="A27" s="17">
        <v>16</v>
      </c>
      <c r="B27" s="176" t="s">
        <v>911</v>
      </c>
      <c r="C27" s="958"/>
      <c r="D27" s="959"/>
      <c r="E27" s="959"/>
      <c r="F27" s="959"/>
      <c r="G27" s="959"/>
      <c r="H27" s="959"/>
      <c r="I27" s="959"/>
      <c r="J27" s="959"/>
      <c r="K27" s="959"/>
      <c r="L27" s="960"/>
    </row>
    <row r="28" spans="1:12" x14ac:dyDescent="0.2">
      <c r="A28" s="17">
        <v>17</v>
      </c>
      <c r="B28" s="176" t="s">
        <v>912</v>
      </c>
      <c r="C28" s="958"/>
      <c r="D28" s="959"/>
      <c r="E28" s="959"/>
      <c r="F28" s="959"/>
      <c r="G28" s="959"/>
      <c r="H28" s="959"/>
      <c r="I28" s="959"/>
      <c r="J28" s="959"/>
      <c r="K28" s="959"/>
      <c r="L28" s="960"/>
    </row>
    <row r="29" spans="1:12" x14ac:dyDescent="0.2">
      <c r="A29" s="17">
        <v>18</v>
      </c>
      <c r="B29" s="176" t="s">
        <v>913</v>
      </c>
      <c r="C29" s="958"/>
      <c r="D29" s="959"/>
      <c r="E29" s="959"/>
      <c r="F29" s="959"/>
      <c r="G29" s="959"/>
      <c r="H29" s="959"/>
      <c r="I29" s="959"/>
      <c r="J29" s="959"/>
      <c r="K29" s="959"/>
      <c r="L29" s="960"/>
    </row>
    <row r="30" spans="1:12" x14ac:dyDescent="0.2">
      <c r="A30" s="17">
        <v>19</v>
      </c>
      <c r="B30" s="176" t="s">
        <v>914</v>
      </c>
      <c r="C30" s="958"/>
      <c r="D30" s="959"/>
      <c r="E30" s="959"/>
      <c r="F30" s="959"/>
      <c r="G30" s="959"/>
      <c r="H30" s="959"/>
      <c r="I30" s="959"/>
      <c r="J30" s="959"/>
      <c r="K30" s="959"/>
      <c r="L30" s="960"/>
    </row>
    <row r="31" spans="1:12" x14ac:dyDescent="0.2">
      <c r="A31" s="17">
        <v>20</v>
      </c>
      <c r="B31" s="176" t="s">
        <v>915</v>
      </c>
      <c r="C31" s="958"/>
      <c r="D31" s="959"/>
      <c r="E31" s="959"/>
      <c r="F31" s="959"/>
      <c r="G31" s="959"/>
      <c r="H31" s="959"/>
      <c r="I31" s="959"/>
      <c r="J31" s="959"/>
      <c r="K31" s="959"/>
      <c r="L31" s="960"/>
    </row>
    <row r="32" spans="1:12" x14ac:dyDescent="0.2">
      <c r="A32" s="17">
        <v>21</v>
      </c>
      <c r="B32" s="176" t="s">
        <v>916</v>
      </c>
      <c r="C32" s="958"/>
      <c r="D32" s="959"/>
      <c r="E32" s="959"/>
      <c r="F32" s="959"/>
      <c r="G32" s="959"/>
      <c r="H32" s="959"/>
      <c r="I32" s="959"/>
      <c r="J32" s="959"/>
      <c r="K32" s="959"/>
      <c r="L32" s="960"/>
    </row>
    <row r="33" spans="1:13" x14ac:dyDescent="0.2">
      <c r="A33" s="17">
        <v>22</v>
      </c>
      <c r="B33" s="176" t="s">
        <v>917</v>
      </c>
      <c r="C33" s="958"/>
      <c r="D33" s="959"/>
      <c r="E33" s="959"/>
      <c r="F33" s="959"/>
      <c r="G33" s="959"/>
      <c r="H33" s="959"/>
      <c r="I33" s="959"/>
      <c r="J33" s="959"/>
      <c r="K33" s="959"/>
      <c r="L33" s="960"/>
    </row>
    <row r="34" spans="1:13" x14ac:dyDescent="0.2">
      <c r="A34" s="17">
        <v>23</v>
      </c>
      <c r="B34" s="176" t="s">
        <v>918</v>
      </c>
      <c r="C34" s="958"/>
      <c r="D34" s="959"/>
      <c r="E34" s="959"/>
      <c r="F34" s="959"/>
      <c r="G34" s="959"/>
      <c r="H34" s="959"/>
      <c r="I34" s="959"/>
      <c r="J34" s="959"/>
      <c r="K34" s="959"/>
      <c r="L34" s="960"/>
    </row>
    <row r="35" spans="1:13" x14ac:dyDescent="0.2">
      <c r="A35" s="17">
        <v>24</v>
      </c>
      <c r="B35" s="18" t="s">
        <v>919</v>
      </c>
      <c r="C35" s="958"/>
      <c r="D35" s="959"/>
      <c r="E35" s="959"/>
      <c r="F35" s="959"/>
      <c r="G35" s="959"/>
      <c r="H35" s="959"/>
      <c r="I35" s="959"/>
      <c r="J35" s="959"/>
      <c r="K35" s="959"/>
      <c r="L35" s="960"/>
    </row>
    <row r="36" spans="1:13" x14ac:dyDescent="0.2">
      <c r="A36" s="798" t="s">
        <v>18</v>
      </c>
      <c r="B36" s="800"/>
      <c r="C36" s="961"/>
      <c r="D36" s="962"/>
      <c r="E36" s="962"/>
      <c r="F36" s="962"/>
      <c r="G36" s="962"/>
      <c r="H36" s="962"/>
      <c r="I36" s="962"/>
      <c r="J36" s="962"/>
      <c r="K36" s="962"/>
      <c r="L36" s="963"/>
    </row>
    <row r="37" spans="1:13" x14ac:dyDescent="0.2">
      <c r="A37" s="20" t="s">
        <v>363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3" x14ac:dyDescent="0.2">
      <c r="A38" s="19" t="s">
        <v>362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3" ht="15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3" ht="15.75" customHeight="1" x14ac:dyDescent="0.2">
      <c r="A40" s="14" t="s">
        <v>22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3" ht="14.25" customHeight="1" x14ac:dyDescent="0.2">
      <c r="A41" s="667"/>
      <c r="B41" s="667"/>
      <c r="C41" s="667"/>
      <c r="D41" s="667"/>
      <c r="E41" s="667"/>
      <c r="F41" s="667"/>
      <c r="G41" s="667"/>
      <c r="H41" s="667"/>
      <c r="I41" s="667"/>
      <c r="J41" s="667"/>
      <c r="K41" s="667" t="s">
        <v>12</v>
      </c>
      <c r="L41" s="667"/>
    </row>
    <row r="42" spans="1:13" ht="12.75" customHeight="1" x14ac:dyDescent="0.2">
      <c r="A42" s="667"/>
      <c r="B42" s="667"/>
      <c r="C42" s="667"/>
      <c r="D42" s="667"/>
      <c r="E42" s="667"/>
      <c r="F42" s="667"/>
      <c r="G42" s="667"/>
      <c r="H42" s="667"/>
      <c r="I42" s="667"/>
      <c r="J42" s="842" t="s">
        <v>13</v>
      </c>
      <c r="K42" s="842"/>
      <c r="L42" s="842"/>
    </row>
    <row r="43" spans="1:13" x14ac:dyDescent="0.2">
      <c r="A43" s="803" t="s">
        <v>19</v>
      </c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</row>
    <row r="44" spans="1:13" x14ac:dyDescent="0.2">
      <c r="A44" s="14"/>
      <c r="B44" s="14"/>
      <c r="C44" s="14"/>
      <c r="D44" s="14"/>
      <c r="E44" s="14"/>
      <c r="F44" s="14"/>
      <c r="J44" s="820" t="s">
        <v>84</v>
      </c>
      <c r="K44" s="820"/>
      <c r="L44" s="820"/>
      <c r="M44" s="820"/>
    </row>
    <row r="45" spans="1:13" x14ac:dyDescent="0.2">
      <c r="A45" s="14"/>
    </row>
    <row r="46" spans="1:13" x14ac:dyDescent="0.2">
      <c r="A46" s="932"/>
      <c r="B46" s="932"/>
      <c r="C46" s="932"/>
      <c r="D46" s="932"/>
      <c r="E46" s="932"/>
      <c r="F46" s="932"/>
      <c r="G46" s="932"/>
      <c r="H46" s="932"/>
      <c r="I46" s="932"/>
      <c r="J46" s="932"/>
      <c r="K46" s="932"/>
      <c r="L46" s="932"/>
    </row>
  </sheetData>
  <mergeCells count="17">
    <mergeCell ref="A43:L43"/>
    <mergeCell ref="J44:M44"/>
    <mergeCell ref="A46:L46"/>
    <mergeCell ref="I8:L8"/>
    <mergeCell ref="A9:A10"/>
    <mergeCell ref="B9:B10"/>
    <mergeCell ref="C9:G9"/>
    <mergeCell ref="H9:L9"/>
    <mergeCell ref="C12:L36"/>
    <mergeCell ref="A36:B36"/>
    <mergeCell ref="J42:L42"/>
    <mergeCell ref="L1:N1"/>
    <mergeCell ref="A2:L2"/>
    <mergeCell ref="A3:L3"/>
    <mergeCell ref="A5:L5"/>
    <mergeCell ref="A7:B7"/>
    <mergeCell ref="F7:L7"/>
  </mergeCells>
  <printOptions horizontalCentered="1"/>
  <pageMargins left="0.70866141732283472" right="0.24" top="0.23622047244094491" bottom="0" header="0.21" footer="0.16"/>
  <pageSetup paperSize="9" scale="91" orientation="landscape" r:id="rId1"/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AI54"/>
  <sheetViews>
    <sheetView topLeftCell="B25" zoomScaleNormal="100" zoomScaleSheetLayoutView="110" workbookViewId="0">
      <selection activeCell="N41" sqref="N41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0.5703125" style="15" customWidth="1"/>
    <col min="4" max="4" width="11.28515625" style="15" customWidth="1"/>
    <col min="5" max="5" width="11.7109375" style="15" customWidth="1"/>
    <col min="6" max="7" width="10" style="15" customWidth="1"/>
    <col min="8" max="8" width="11.7109375" style="15" customWidth="1"/>
    <col min="9" max="9" width="11.85546875" style="15" customWidth="1"/>
    <col min="10" max="10" width="10" style="15" customWidth="1"/>
    <col min="11" max="11" width="11" style="15" customWidth="1"/>
    <col min="12" max="13" width="10" style="15" customWidth="1"/>
    <col min="14" max="14" width="11.140625" style="15" customWidth="1"/>
    <col min="15" max="17" width="10.7109375" style="15" customWidth="1"/>
    <col min="18" max="18" width="9.140625" style="15"/>
    <col min="19" max="21" width="9.28515625" style="462" bestFit="1" customWidth="1"/>
    <col min="22" max="22" width="9.140625" style="462"/>
    <col min="23" max="24" width="15" style="462" bestFit="1" customWidth="1"/>
    <col min="25" max="25" width="14.7109375" style="462" customWidth="1"/>
    <col min="26" max="26" width="16.140625" style="462" bestFit="1" customWidth="1"/>
    <col min="27" max="27" width="9.140625" style="462"/>
    <col min="28" max="29" width="11.85546875" style="462" bestFit="1" customWidth="1"/>
    <col min="30" max="30" width="9.7109375" style="462" bestFit="1" customWidth="1"/>
    <col min="31" max="31" width="12.85546875" style="462" bestFit="1" customWidth="1"/>
    <col min="32" max="35" width="9.140625" style="462"/>
    <col min="36" max="16384" width="9.140625" style="15"/>
  </cols>
  <sheetData>
    <row r="1" spans="1:35" customFormat="1" ht="15" x14ac:dyDescent="0.2">
      <c r="H1" s="33"/>
      <c r="I1" s="33"/>
      <c r="J1" s="33"/>
      <c r="K1" s="33"/>
      <c r="L1" s="33"/>
      <c r="M1" s="33"/>
      <c r="N1" s="33"/>
      <c r="O1" s="33"/>
      <c r="P1" s="928" t="s">
        <v>64</v>
      </c>
      <c r="Q1" s="928"/>
      <c r="S1" s="462"/>
      <c r="T1" s="527"/>
      <c r="U1" s="527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35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42"/>
      <c r="S2" s="528"/>
      <c r="T2" s="528"/>
      <c r="U2" s="528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</row>
    <row r="3" spans="1:35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41"/>
      <c r="S3" s="529"/>
      <c r="T3" s="529"/>
      <c r="U3" s="529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</row>
    <row r="4" spans="1:35" customFormat="1" ht="10.5" customHeight="1" x14ac:dyDescent="0.2"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</row>
    <row r="5" spans="1:35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35" ht="18" customHeight="1" x14ac:dyDescent="0.25">
      <c r="A6" s="931" t="s">
        <v>809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66"/>
    </row>
    <row r="7" spans="1:35" ht="9.75" customHeight="1" x14ac:dyDescent="0.2">
      <c r="R7" s="66"/>
    </row>
    <row r="8" spans="1:35" x14ac:dyDescent="0.2">
      <c r="R8" s="66"/>
    </row>
    <row r="9" spans="1:35" x14ac:dyDescent="0.2">
      <c r="A9" s="820" t="s">
        <v>920</v>
      </c>
      <c r="B9" s="820"/>
      <c r="Q9" s="30" t="s">
        <v>24</v>
      </c>
      <c r="R9" s="66"/>
      <c r="S9" s="530"/>
    </row>
    <row r="10" spans="1:35" ht="15.75" x14ac:dyDescent="0.25">
      <c r="A10" s="13"/>
      <c r="N10" s="921" t="s">
        <v>830</v>
      </c>
      <c r="O10" s="921"/>
      <c r="P10" s="921"/>
      <c r="Q10" s="921"/>
      <c r="R10" s="66"/>
    </row>
    <row r="11" spans="1:35" ht="28.5" customHeight="1" x14ac:dyDescent="0.2">
      <c r="A11" s="818" t="s">
        <v>2</v>
      </c>
      <c r="B11" s="818" t="s">
        <v>3</v>
      </c>
      <c r="C11" s="834" t="s">
        <v>854</v>
      </c>
      <c r="D11" s="834"/>
      <c r="E11" s="834"/>
      <c r="F11" s="834" t="s">
        <v>821</v>
      </c>
      <c r="G11" s="834"/>
      <c r="H11" s="834"/>
      <c r="I11" s="966" t="s">
        <v>367</v>
      </c>
      <c r="J11" s="967"/>
      <c r="K11" s="968"/>
      <c r="L11" s="834" t="s">
        <v>94</v>
      </c>
      <c r="M11" s="834"/>
      <c r="N11" s="834"/>
      <c r="O11" s="964" t="s">
        <v>851</v>
      </c>
      <c r="P11" s="964"/>
      <c r="Q11" s="964"/>
    </row>
    <row r="12" spans="1:35" ht="39.75" customHeight="1" x14ac:dyDescent="0.2">
      <c r="A12" s="819"/>
      <c r="B12" s="819"/>
      <c r="C12" s="5" t="s">
        <v>113</v>
      </c>
      <c r="D12" s="5" t="s">
        <v>659</v>
      </c>
      <c r="E12" s="36" t="s">
        <v>18</v>
      </c>
      <c r="F12" s="5" t="s">
        <v>113</v>
      </c>
      <c r="G12" s="5" t="s">
        <v>660</v>
      </c>
      <c r="H12" s="36" t="s">
        <v>18</v>
      </c>
      <c r="I12" s="5" t="s">
        <v>113</v>
      </c>
      <c r="J12" s="5" t="s">
        <v>660</v>
      </c>
      <c r="K12" s="36" t="s">
        <v>18</v>
      </c>
      <c r="L12" s="5" t="s">
        <v>113</v>
      </c>
      <c r="M12" s="5" t="s">
        <v>660</v>
      </c>
      <c r="N12" s="36" t="s">
        <v>18</v>
      </c>
      <c r="O12" s="5" t="s">
        <v>226</v>
      </c>
      <c r="P12" s="5" t="s">
        <v>661</v>
      </c>
      <c r="Q12" s="5" t="s">
        <v>114</v>
      </c>
    </row>
    <row r="13" spans="1:35" s="66" customFormat="1" x14ac:dyDescent="0.2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S13" s="531"/>
      <c r="T13" s="531"/>
      <c r="U13" s="531"/>
      <c r="V13" s="531"/>
      <c r="W13" s="532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</row>
    <row r="14" spans="1:35" x14ac:dyDescent="0.2">
      <c r="A14" s="17">
        <v>1</v>
      </c>
      <c r="B14" s="176" t="s">
        <v>896</v>
      </c>
      <c r="C14" s="329">
        <f>(T5_PLAN_vs_PRFM!D12*2.69*254)/100000</f>
        <v>996.6508642</v>
      </c>
      <c r="D14" s="329">
        <f>T5_PLAN_vs_PRFM!D12*254*1.79/100000</f>
        <v>663.19890220000002</v>
      </c>
      <c r="E14" s="329">
        <f>SUM(C14:D14)</f>
        <v>1659.8497664000001</v>
      </c>
      <c r="F14" s="330">
        <v>77.757204172000115</v>
      </c>
      <c r="G14" s="330">
        <v>559.91335735737493</v>
      </c>
      <c r="H14" s="329">
        <f>SUM(F14:G14)</f>
        <v>637.67056152937505</v>
      </c>
      <c r="I14" s="330">
        <v>918.89366002799989</v>
      </c>
      <c r="J14" s="329">
        <v>540.48099509999997</v>
      </c>
      <c r="K14" s="329">
        <f>SUM(I14:J14)</f>
        <v>1459.3746551279999</v>
      </c>
      <c r="L14" s="329">
        <f>T5_PLAN_vs_PRFM!H12*2.69/100000+'T5B_PLAN_vs_PRFM  (2)'!H12*4.03/100000</f>
        <v>513.9990411</v>
      </c>
      <c r="M14" s="329">
        <f>T5_PLAN_vs_PRFM!H12*1.79/100000+'T5B_PLAN_vs_PRFM  (2)'!H12*2.68/100000</f>
        <v>342.0274776</v>
      </c>
      <c r="N14" s="329">
        <f>SUM(L14:M14)</f>
        <v>856.0265187</v>
      </c>
      <c r="O14" s="329">
        <f>F14+I14-L14</f>
        <v>482.6518231</v>
      </c>
      <c r="P14" s="329">
        <f>G14+J14-M14</f>
        <v>758.36687485737491</v>
      </c>
      <c r="Q14" s="329">
        <f>H14+K14-N14</f>
        <v>1241.018697957375</v>
      </c>
      <c r="S14" s="463"/>
      <c r="T14" s="463"/>
      <c r="U14" s="463"/>
      <c r="W14" s="465"/>
      <c r="X14" s="465"/>
      <c r="Z14" s="465"/>
      <c r="AB14" s="465"/>
      <c r="AC14" s="465"/>
      <c r="AD14" s="465"/>
      <c r="AE14" s="465"/>
      <c r="AG14" s="465"/>
    </row>
    <row r="15" spans="1:35" x14ac:dyDescent="0.2">
      <c r="A15" s="17">
        <v>2</v>
      </c>
      <c r="B15" s="176" t="s">
        <v>897</v>
      </c>
      <c r="C15" s="329">
        <f>(T5_PLAN_vs_PRFM!D13*2.69*254)/100000</f>
        <v>335.63097719999996</v>
      </c>
      <c r="D15" s="329">
        <f>T5_PLAN_vs_PRFM!D13*254*1.79/100000</f>
        <v>223.33808519999999</v>
      </c>
      <c r="E15" s="329">
        <f t="shared" ref="E15:E37" si="0">SUM(C15:D15)</f>
        <v>558.96906239999998</v>
      </c>
      <c r="F15" s="330">
        <v>49.39883560200002</v>
      </c>
      <c r="G15" s="330">
        <v>162.21758816053625</v>
      </c>
      <c r="H15" s="329">
        <f t="shared" ref="H15:H37" si="1">SUM(F15:G15)</f>
        <v>211.61642376253627</v>
      </c>
      <c r="I15" s="330">
        <v>286.23214159799994</v>
      </c>
      <c r="J15" s="329">
        <v>182.01174660000001</v>
      </c>
      <c r="K15" s="329">
        <f t="shared" ref="K15:K37" si="2">SUM(I15:J15)</f>
        <v>468.24388819799992</v>
      </c>
      <c r="L15" s="329">
        <f>T5_PLAN_vs_PRFM!H13*2.69/100000+'T5B_PLAN_vs_PRFM  (2)'!H13*4.03/100000</f>
        <v>185.88623609999999</v>
      </c>
      <c r="M15" s="329">
        <f>T5_PLAN_vs_PRFM!H13*1.79/100000+'T5B_PLAN_vs_PRFM  (2)'!H13*2.68/100000</f>
        <v>123.69381509999999</v>
      </c>
      <c r="N15" s="329">
        <f t="shared" ref="N15:N37" si="3">SUM(L15:M15)</f>
        <v>309.58005119999996</v>
      </c>
      <c r="O15" s="329">
        <f t="shared" ref="O15:O37" si="4">F15+I15-L15</f>
        <v>149.74474109999997</v>
      </c>
      <c r="P15" s="329">
        <f t="shared" ref="P15:P37" si="5">G15+J15-M15</f>
        <v>220.53551966053629</v>
      </c>
      <c r="Q15" s="329">
        <f t="shared" ref="Q15:Q37" si="6">H15+K15-N15</f>
        <v>370.28026076053618</v>
      </c>
      <c r="S15" s="463"/>
      <c r="T15" s="463"/>
      <c r="U15" s="463"/>
      <c r="W15" s="465"/>
      <c r="X15" s="465"/>
      <c r="Z15" s="465"/>
      <c r="AB15" s="465"/>
      <c r="AC15" s="465"/>
      <c r="AD15" s="465"/>
      <c r="AE15" s="465"/>
      <c r="AG15" s="465"/>
    </row>
    <row r="16" spans="1:35" x14ac:dyDescent="0.2">
      <c r="A16" s="17">
        <v>3</v>
      </c>
      <c r="B16" s="176" t="s">
        <v>898</v>
      </c>
      <c r="C16" s="329">
        <f>(T5_PLAN_vs_PRFM!D14*2.69*254)/100000</f>
        <v>263.34206919999997</v>
      </c>
      <c r="D16" s="329">
        <f>T5_PLAN_vs_PRFM!D14*254*1.79/100000</f>
        <v>175.2350572</v>
      </c>
      <c r="E16" s="329">
        <f t="shared" si="0"/>
        <v>438.5771264</v>
      </c>
      <c r="F16" s="330">
        <v>46.102274168000037</v>
      </c>
      <c r="G16" s="330">
        <v>144.85476823172968</v>
      </c>
      <c r="H16" s="329">
        <f t="shared" si="1"/>
        <v>190.95704239972972</v>
      </c>
      <c r="I16" s="330">
        <v>217.23979503199993</v>
      </c>
      <c r="J16" s="329">
        <v>142.8096726</v>
      </c>
      <c r="K16" s="329">
        <f t="shared" si="2"/>
        <v>360.04946763199996</v>
      </c>
      <c r="L16" s="329">
        <f>T5_PLAN_vs_PRFM!H14*2.69/100000+'T5B_PLAN_vs_PRFM  (2)'!H14*4.03/100000</f>
        <v>134.69830679999998</v>
      </c>
      <c r="M16" s="329">
        <f>T5_PLAN_vs_PRFM!H14*1.79/100000+'T5B_PLAN_vs_PRFM  (2)'!H14*2.68/100000</f>
        <v>89.631958800000007</v>
      </c>
      <c r="N16" s="329">
        <f t="shared" si="3"/>
        <v>224.33026559999999</v>
      </c>
      <c r="O16" s="329">
        <f t="shared" si="4"/>
        <v>128.64376239999999</v>
      </c>
      <c r="P16" s="329">
        <f t="shared" si="5"/>
        <v>198.03248203172967</v>
      </c>
      <c r="Q16" s="329">
        <f t="shared" si="6"/>
        <v>326.67624443172974</v>
      </c>
      <c r="S16" s="463"/>
      <c r="T16" s="463"/>
      <c r="U16" s="463"/>
      <c r="W16" s="465"/>
      <c r="X16" s="465"/>
      <c r="Z16" s="465"/>
      <c r="AB16" s="465"/>
      <c r="AC16" s="465"/>
      <c r="AD16" s="465"/>
      <c r="AE16" s="465"/>
      <c r="AG16" s="465"/>
    </row>
    <row r="17" spans="1:33" x14ac:dyDescent="0.2">
      <c r="A17" s="17">
        <v>4</v>
      </c>
      <c r="B17" s="176" t="s">
        <v>899</v>
      </c>
      <c r="C17" s="329">
        <f>(T5_PLAN_vs_PRFM!D15*2.69*254)/100000</f>
        <v>778.70458940000003</v>
      </c>
      <c r="D17" s="329">
        <f>T5_PLAN_vs_PRFM!D15*254*1.79/100000</f>
        <v>518.17145540000001</v>
      </c>
      <c r="E17" s="329">
        <f t="shared" si="0"/>
        <v>1296.8760448</v>
      </c>
      <c r="F17" s="330">
        <v>83.954804300000092</v>
      </c>
      <c r="G17" s="330">
        <v>186.39592364130698</v>
      </c>
      <c r="H17" s="329">
        <f t="shared" si="1"/>
        <v>270.35072794130707</v>
      </c>
      <c r="I17" s="330">
        <v>694.74978509999994</v>
      </c>
      <c r="J17" s="329">
        <v>422.28933569999998</v>
      </c>
      <c r="K17" s="329">
        <f t="shared" si="2"/>
        <v>1117.0391207999999</v>
      </c>
      <c r="L17" s="329">
        <f>T5_PLAN_vs_PRFM!H15*2.69/100000+'T5B_PLAN_vs_PRFM  (2)'!H15*4.03/100000</f>
        <v>401.1942396</v>
      </c>
      <c r="M17" s="329">
        <f>T5_PLAN_vs_PRFM!H15*1.79/100000+'T5B_PLAN_vs_PRFM  (2)'!H15*2.68/100000</f>
        <v>266.96568359999998</v>
      </c>
      <c r="N17" s="329">
        <f t="shared" si="3"/>
        <v>668.15992319999998</v>
      </c>
      <c r="O17" s="329">
        <f t="shared" si="4"/>
        <v>377.51034980000003</v>
      </c>
      <c r="P17" s="329">
        <f t="shared" si="5"/>
        <v>341.71957574130698</v>
      </c>
      <c r="Q17" s="329">
        <f t="shared" si="6"/>
        <v>719.2299255413069</v>
      </c>
      <c r="S17" s="463"/>
      <c r="T17" s="463"/>
      <c r="U17" s="463"/>
      <c r="W17" s="465"/>
      <c r="X17" s="465"/>
      <c r="Z17" s="465"/>
      <c r="AB17" s="465"/>
      <c r="AC17" s="465"/>
      <c r="AD17" s="465"/>
      <c r="AE17" s="465"/>
      <c r="AG17" s="465"/>
    </row>
    <row r="18" spans="1:33" x14ac:dyDescent="0.2">
      <c r="A18" s="17">
        <v>5</v>
      </c>
      <c r="B18" s="176" t="s">
        <v>900</v>
      </c>
      <c r="C18" s="329">
        <f>(T5_PLAN_vs_PRFM!D16*2.69*254)/100000</f>
        <v>404.55141339999994</v>
      </c>
      <c r="D18" s="329">
        <f>T5_PLAN_vs_PRFM!D16*254*1.79/100000</f>
        <v>269.19963940000002</v>
      </c>
      <c r="E18" s="329">
        <f t="shared" si="0"/>
        <v>673.75105280000002</v>
      </c>
      <c r="F18" s="330">
        <v>81.041738188000011</v>
      </c>
      <c r="G18" s="330">
        <v>-98.831627071558373</v>
      </c>
      <c r="H18" s="329">
        <f t="shared" si="1"/>
        <v>-17.789888883558362</v>
      </c>
      <c r="I18" s="330">
        <v>323.50967521199993</v>
      </c>
      <c r="J18" s="329">
        <v>219.3871077</v>
      </c>
      <c r="K18" s="329">
        <f t="shared" si="2"/>
        <v>542.89678291199994</v>
      </c>
      <c r="L18" s="329">
        <f>T5_PLAN_vs_PRFM!H16*2.69/100000+'T5B_PLAN_vs_PRFM  (2)'!H16*4.03/100000</f>
        <v>210.94947719999999</v>
      </c>
      <c r="M18" s="329">
        <f>T5_PLAN_vs_PRFM!H16*1.79/100000+'T5B_PLAN_vs_PRFM  (2)'!H16*2.68/100000</f>
        <v>140.3715852</v>
      </c>
      <c r="N18" s="329">
        <f t="shared" si="3"/>
        <v>351.32106239999996</v>
      </c>
      <c r="O18" s="329">
        <f t="shared" si="4"/>
        <v>193.60193619999995</v>
      </c>
      <c r="P18" s="329">
        <f t="shared" si="5"/>
        <v>-19.81610457155837</v>
      </c>
      <c r="Q18" s="329">
        <f t="shared" si="6"/>
        <v>173.78583162844166</v>
      </c>
      <c r="S18" s="463"/>
      <c r="T18" s="463"/>
      <c r="U18" s="463"/>
      <c r="W18" s="465"/>
      <c r="X18" s="465"/>
      <c r="Z18" s="465"/>
      <c r="AB18" s="465"/>
      <c r="AC18" s="465"/>
      <c r="AD18" s="465"/>
      <c r="AE18" s="465"/>
      <c r="AG18" s="465"/>
    </row>
    <row r="19" spans="1:33" x14ac:dyDescent="0.2">
      <c r="A19" s="17">
        <v>6</v>
      </c>
      <c r="B19" s="176" t="s">
        <v>901</v>
      </c>
      <c r="C19" s="329">
        <f>(T5_PLAN_vs_PRFM!D17*2.69*254)/100000</f>
        <v>692.53867079999998</v>
      </c>
      <c r="D19" s="329">
        <f>T5_PLAN_vs_PRFM!D17*254*1.79/100000</f>
        <v>460.83428280000004</v>
      </c>
      <c r="E19" s="329">
        <f t="shared" si="0"/>
        <v>1153.3729536000001</v>
      </c>
      <c r="F19" s="330">
        <v>313.21348428999994</v>
      </c>
      <c r="G19" s="330">
        <v>369.76595824668453</v>
      </c>
      <c r="H19" s="329">
        <f t="shared" si="1"/>
        <v>682.97944253668447</v>
      </c>
      <c r="I19" s="330">
        <v>379.32518651000004</v>
      </c>
      <c r="J19" s="329">
        <v>375.56179740000005</v>
      </c>
      <c r="K19" s="329">
        <f t="shared" si="2"/>
        <v>754.88698391000003</v>
      </c>
      <c r="L19" s="329">
        <f>T5_PLAN_vs_PRFM!H17*2.69/100000+'T5B_PLAN_vs_PRFM  (2)'!H17*4.03/100000</f>
        <v>359.32266799999996</v>
      </c>
      <c r="M19" s="329">
        <f>T5_PLAN_vs_PRFM!H17*1.79/100000+'T5B_PLAN_vs_PRFM  (2)'!H17*2.68/100000</f>
        <v>239.10318800000002</v>
      </c>
      <c r="N19" s="329">
        <f t="shared" si="3"/>
        <v>598.42585599999995</v>
      </c>
      <c r="O19" s="329">
        <f t="shared" si="4"/>
        <v>333.21600280000001</v>
      </c>
      <c r="P19" s="329">
        <f t="shared" si="5"/>
        <v>506.22456764668459</v>
      </c>
      <c r="Q19" s="329">
        <f t="shared" si="6"/>
        <v>839.44057044668455</v>
      </c>
      <c r="S19" s="463"/>
      <c r="T19" s="463"/>
      <c r="U19" s="463"/>
      <c r="W19" s="465"/>
      <c r="X19" s="465"/>
      <c r="Z19" s="465"/>
      <c r="AB19" s="465"/>
      <c r="AC19" s="465"/>
      <c r="AD19" s="465"/>
      <c r="AE19" s="465"/>
      <c r="AG19" s="465"/>
    </row>
    <row r="20" spans="1:33" x14ac:dyDescent="0.2">
      <c r="A20" s="17">
        <v>7</v>
      </c>
      <c r="B20" s="176" t="s">
        <v>902</v>
      </c>
      <c r="C20" s="329">
        <f>(T5_PLAN_vs_PRFM!D18*2.69*254)/100000</f>
        <v>451.58703179999992</v>
      </c>
      <c r="D20" s="329">
        <f>T5_PLAN_vs_PRFM!D18*254*1.79/100000</f>
        <v>300.49843379999999</v>
      </c>
      <c r="E20" s="329">
        <f t="shared" si="0"/>
        <v>752.08546559999991</v>
      </c>
      <c r="F20" s="330">
        <v>105.74862468399999</v>
      </c>
      <c r="G20" s="330">
        <v>257.63806524849917</v>
      </c>
      <c r="H20" s="329">
        <f t="shared" si="1"/>
        <v>363.38668993249917</v>
      </c>
      <c r="I20" s="330">
        <v>345.83840711599998</v>
      </c>
      <c r="J20" s="329">
        <v>244.89439289999999</v>
      </c>
      <c r="K20" s="329">
        <f t="shared" si="2"/>
        <v>590.73280001599994</v>
      </c>
      <c r="L20" s="329">
        <f>T5_PLAN_vs_PRFM!H18*2.69/100000+'T5B_PLAN_vs_PRFM  (2)'!H18*4.03/100000</f>
        <v>242.4662166</v>
      </c>
      <c r="M20" s="329">
        <f>T5_PLAN_vs_PRFM!H18*1.79/100000+'T5B_PLAN_vs_PRFM  (2)'!H18*2.68/100000</f>
        <v>161.3436906</v>
      </c>
      <c r="N20" s="329">
        <f t="shared" si="3"/>
        <v>403.8099072</v>
      </c>
      <c r="O20" s="329">
        <f t="shared" si="4"/>
        <v>209.12081519999998</v>
      </c>
      <c r="P20" s="329">
        <f t="shared" si="5"/>
        <v>341.18876754849913</v>
      </c>
      <c r="Q20" s="329">
        <f t="shared" si="6"/>
        <v>550.30958274849911</v>
      </c>
      <c r="S20" s="463"/>
      <c r="T20" s="463"/>
      <c r="U20" s="463"/>
      <c r="W20" s="465"/>
      <c r="X20" s="465"/>
      <c r="Z20" s="465"/>
      <c r="AB20" s="465"/>
      <c r="AC20" s="465"/>
      <c r="AD20" s="465"/>
      <c r="AE20" s="465"/>
      <c r="AG20" s="465"/>
    </row>
    <row r="21" spans="1:33" x14ac:dyDescent="0.2">
      <c r="A21" s="17">
        <v>8</v>
      </c>
      <c r="B21" s="176" t="s">
        <v>903</v>
      </c>
      <c r="C21" s="329">
        <f>(T5_PLAN_vs_PRFM!D19*2.69*254)/100000</f>
        <v>980.36194579999994</v>
      </c>
      <c r="D21" s="329">
        <f>T5_PLAN_vs_PRFM!D19*254*1.79/100000</f>
        <v>652.3598078</v>
      </c>
      <c r="E21" s="329">
        <f t="shared" si="0"/>
        <v>1632.7217535999998</v>
      </c>
      <c r="F21" s="330">
        <v>106.11211607000007</v>
      </c>
      <c r="G21" s="330">
        <v>344.98323433475434</v>
      </c>
      <c r="H21" s="329">
        <f t="shared" si="1"/>
        <v>451.09535040475441</v>
      </c>
      <c r="I21" s="330">
        <v>874.24982972999987</v>
      </c>
      <c r="J21" s="329">
        <v>531.64755990000003</v>
      </c>
      <c r="K21" s="329">
        <f t="shared" si="2"/>
        <v>1405.8973896299999</v>
      </c>
      <c r="L21" s="329">
        <f>T5_PLAN_vs_PRFM!H19*2.69/100000+'T5B_PLAN_vs_PRFM  (2)'!H19*4.03/100000</f>
        <v>577.37626020000005</v>
      </c>
      <c r="M21" s="329">
        <f>T5_PLAN_vs_PRFM!H19*1.79/100000+'T5B_PLAN_vs_PRFM  (2)'!H19*2.68/100000</f>
        <v>384.20157869999997</v>
      </c>
      <c r="N21" s="329">
        <f t="shared" si="3"/>
        <v>961.57783889999996</v>
      </c>
      <c r="O21" s="329">
        <f t="shared" si="4"/>
        <v>402.9856855999999</v>
      </c>
      <c r="P21" s="329">
        <f t="shared" si="5"/>
        <v>492.42921553475441</v>
      </c>
      <c r="Q21" s="329">
        <f t="shared" si="6"/>
        <v>895.41490113475425</v>
      </c>
      <c r="S21" s="463"/>
      <c r="T21" s="463"/>
      <c r="U21" s="463"/>
      <c r="W21" s="465"/>
      <c r="X21" s="465"/>
      <c r="Z21" s="465"/>
      <c r="AB21" s="465"/>
      <c r="AC21" s="465"/>
      <c r="AD21" s="465"/>
      <c r="AE21" s="465"/>
      <c r="AG21" s="465"/>
    </row>
    <row r="22" spans="1:33" x14ac:dyDescent="0.2">
      <c r="A22" s="17">
        <v>9</v>
      </c>
      <c r="B22" s="176" t="s">
        <v>904</v>
      </c>
      <c r="C22" s="329">
        <f>(T5_PLAN_vs_PRFM!D20*2.69*254)/100000</f>
        <v>1278.8304115999999</v>
      </c>
      <c r="D22" s="329">
        <f>T5_PLAN_vs_PRFM!D20*254*1.79/100000</f>
        <v>850.96893560000001</v>
      </c>
      <c r="E22" s="329">
        <f t="shared" si="0"/>
        <v>2129.7993471999998</v>
      </c>
      <c r="F22" s="330">
        <v>360.25979870000037</v>
      </c>
      <c r="G22" s="330">
        <v>1072.4306580494758</v>
      </c>
      <c r="H22" s="329">
        <f t="shared" si="1"/>
        <v>1432.6904567494762</v>
      </c>
      <c r="I22" s="330">
        <v>918.57061289999956</v>
      </c>
      <c r="J22" s="329">
        <v>693.50617980000004</v>
      </c>
      <c r="K22" s="329">
        <f t="shared" si="2"/>
        <v>1612.0767926999997</v>
      </c>
      <c r="L22" s="329">
        <f>T5_PLAN_vs_PRFM!H20*2.69/100000+'T5B_PLAN_vs_PRFM  (2)'!H20*4.03/100000</f>
        <v>780.66877360000001</v>
      </c>
      <c r="M22" s="329">
        <f>T5_PLAN_vs_PRFM!H20*1.79/100000+'T5B_PLAN_vs_PRFM  (2)'!H20*2.68/100000</f>
        <v>519.47847760000002</v>
      </c>
      <c r="N22" s="329">
        <f t="shared" si="3"/>
        <v>1300.1472512</v>
      </c>
      <c r="O22" s="329">
        <f t="shared" si="4"/>
        <v>498.16163799999993</v>
      </c>
      <c r="P22" s="329">
        <f t="shared" si="5"/>
        <v>1246.4583602494758</v>
      </c>
      <c r="Q22" s="329">
        <f t="shared" si="6"/>
        <v>1744.6199982494759</v>
      </c>
      <c r="S22" s="463"/>
      <c r="T22" s="463"/>
      <c r="U22" s="463"/>
      <c r="W22" s="465"/>
      <c r="X22" s="465"/>
      <c r="Z22" s="465"/>
      <c r="AB22" s="465"/>
      <c r="AC22" s="465"/>
      <c r="AD22" s="465"/>
      <c r="AE22" s="465"/>
      <c r="AG22" s="465"/>
    </row>
    <row r="23" spans="1:33" x14ac:dyDescent="0.2">
      <c r="A23" s="17">
        <v>10</v>
      </c>
      <c r="B23" s="176" t="s">
        <v>905</v>
      </c>
      <c r="C23" s="329">
        <f>(T5_PLAN_vs_PRFM!D21*2.69*254)/100000</f>
        <v>460.79737660000006</v>
      </c>
      <c r="D23" s="329">
        <f>T5_PLAN_vs_PRFM!D21*254*1.79/100000</f>
        <v>306.62725060000002</v>
      </c>
      <c r="E23" s="329">
        <f t="shared" si="0"/>
        <v>767.42462720000003</v>
      </c>
      <c r="F23" s="330">
        <v>97.007409687999996</v>
      </c>
      <c r="G23" s="330">
        <v>190.01000819388892</v>
      </c>
      <c r="H23" s="329">
        <f t="shared" si="1"/>
        <v>287.01741788188895</v>
      </c>
      <c r="I23" s="330">
        <v>363.78996691199995</v>
      </c>
      <c r="J23" s="329">
        <v>249.88913730000002</v>
      </c>
      <c r="K23" s="329">
        <f t="shared" si="2"/>
        <v>613.67910421199997</v>
      </c>
      <c r="L23" s="329">
        <f>T5_PLAN_vs_PRFM!H21*2.69/100000+'T5B_PLAN_vs_PRFM  (2)'!H21*4.03/100000</f>
        <v>256.24245980000001</v>
      </c>
      <c r="M23" s="329">
        <f>T5_PLAN_vs_PRFM!H21*1.79/100000+'T5B_PLAN_vs_PRFM  (2)'!H21*2.68/100000</f>
        <v>170.51078179999999</v>
      </c>
      <c r="N23" s="329">
        <f t="shared" si="3"/>
        <v>426.75324160000002</v>
      </c>
      <c r="O23" s="329">
        <f t="shared" si="4"/>
        <v>204.55491679999994</v>
      </c>
      <c r="P23" s="329">
        <f t="shared" si="5"/>
        <v>269.38836369388889</v>
      </c>
      <c r="Q23" s="329">
        <f t="shared" si="6"/>
        <v>473.94328049388889</v>
      </c>
      <c r="S23" s="463"/>
      <c r="T23" s="463"/>
      <c r="U23" s="463"/>
      <c r="W23" s="465"/>
      <c r="X23" s="465"/>
      <c r="Z23" s="465"/>
      <c r="AB23" s="465"/>
      <c r="AC23" s="465"/>
      <c r="AD23" s="465"/>
      <c r="AE23" s="465"/>
      <c r="AG23" s="465"/>
    </row>
    <row r="24" spans="1:33" x14ac:dyDescent="0.2">
      <c r="A24" s="17">
        <v>11</v>
      </c>
      <c r="B24" s="176" t="s">
        <v>906</v>
      </c>
      <c r="C24" s="329">
        <f>(T5_PLAN_vs_PRFM!D22*2.69*254)/100000</f>
        <v>737.51767659999996</v>
      </c>
      <c r="D24" s="329">
        <f>T5_PLAN_vs_PRFM!D22*254*1.79/100000</f>
        <v>490.76455060000001</v>
      </c>
      <c r="E24" s="329">
        <f t="shared" si="0"/>
        <v>1228.2822271999999</v>
      </c>
      <c r="F24" s="330">
        <v>157.13186053200002</v>
      </c>
      <c r="G24" s="330">
        <v>461.55125261001797</v>
      </c>
      <c r="H24" s="329">
        <f t="shared" si="1"/>
        <v>618.68311314201799</v>
      </c>
      <c r="I24" s="330">
        <v>580.38581606799994</v>
      </c>
      <c r="J24" s="329">
        <v>399.95378730000004</v>
      </c>
      <c r="K24" s="329">
        <f t="shared" si="2"/>
        <v>980.33960336799998</v>
      </c>
      <c r="L24" s="329">
        <f>T5_PLAN_vs_PRFM!H22*2.69/100000+'T5B_PLAN_vs_PRFM  (2)'!H22*4.03/100000</f>
        <v>424.18123430000003</v>
      </c>
      <c r="M24" s="329">
        <f>T5_PLAN_vs_PRFM!H22*1.79/100000+'T5B_PLAN_vs_PRFM  (2)'!H22*2.68/100000</f>
        <v>282.25938830000001</v>
      </c>
      <c r="N24" s="329">
        <f t="shared" si="3"/>
        <v>706.4406226000001</v>
      </c>
      <c r="O24" s="329">
        <f t="shared" si="4"/>
        <v>313.33644229999993</v>
      </c>
      <c r="P24" s="329">
        <f t="shared" si="5"/>
        <v>579.24565161001806</v>
      </c>
      <c r="Q24" s="329">
        <f t="shared" si="6"/>
        <v>892.58209391001787</v>
      </c>
      <c r="S24" s="463"/>
      <c r="T24" s="463"/>
      <c r="U24" s="463"/>
      <c r="W24" s="465"/>
      <c r="X24" s="465"/>
      <c r="Z24" s="465"/>
      <c r="AB24" s="465"/>
      <c r="AC24" s="465"/>
      <c r="AD24" s="465"/>
      <c r="AE24" s="465"/>
      <c r="AG24" s="465"/>
    </row>
    <row r="25" spans="1:33" x14ac:dyDescent="0.2">
      <c r="A25" s="17">
        <v>12</v>
      </c>
      <c r="B25" s="269" t="s">
        <v>907</v>
      </c>
      <c r="C25" s="329">
        <f>(T5_PLAN_vs_PRFM!D23*2.69*254)/100000</f>
        <v>746.95349720000002</v>
      </c>
      <c r="D25" s="329">
        <f>T5_PLAN_vs_PRFM!D23*254*1.79/100000</f>
        <v>497.04340520000005</v>
      </c>
      <c r="E25" s="329">
        <f t="shared" si="0"/>
        <v>1243.9969024000002</v>
      </c>
      <c r="F25" s="330">
        <v>-15.298395107999909</v>
      </c>
      <c r="G25" s="330">
        <v>566.8627281917951</v>
      </c>
      <c r="H25" s="329">
        <f t="shared" si="1"/>
        <v>551.56433308379519</v>
      </c>
      <c r="I25" s="330">
        <v>762.25189230799992</v>
      </c>
      <c r="J25" s="329">
        <v>405.07080660000003</v>
      </c>
      <c r="K25" s="329">
        <f t="shared" si="2"/>
        <v>1167.3226989079999</v>
      </c>
      <c r="L25" s="329">
        <f>T5_PLAN_vs_PRFM!H23*2.69/100000+'T5B_PLAN_vs_PRFM  (2)'!H23*4.03/100000</f>
        <v>384.25617629999994</v>
      </c>
      <c r="M25" s="329">
        <f>T5_PLAN_vs_PRFM!H23*1.79/100000+'T5B_PLAN_vs_PRFM  (2)'!H23*2.68/100000</f>
        <v>255.69330930000001</v>
      </c>
      <c r="N25" s="329">
        <f t="shared" si="3"/>
        <v>639.94948559999989</v>
      </c>
      <c r="O25" s="329">
        <f t="shared" si="4"/>
        <v>362.69732090000008</v>
      </c>
      <c r="P25" s="329">
        <f t="shared" si="5"/>
        <v>716.24022549179517</v>
      </c>
      <c r="Q25" s="329">
        <f t="shared" si="6"/>
        <v>1078.9375463917952</v>
      </c>
      <c r="S25" s="463"/>
      <c r="T25" s="463"/>
      <c r="U25" s="463"/>
      <c r="W25" s="465"/>
      <c r="X25" s="465"/>
      <c r="Z25" s="465"/>
      <c r="AB25" s="465"/>
      <c r="AC25" s="465"/>
      <c r="AD25" s="465"/>
      <c r="AE25" s="465"/>
      <c r="AG25" s="465"/>
    </row>
    <row r="26" spans="1:33" x14ac:dyDescent="0.2">
      <c r="A26" s="17">
        <v>13</v>
      </c>
      <c r="B26" s="176" t="s">
        <v>908</v>
      </c>
      <c r="C26" s="329">
        <f>(T5_PLAN_vs_PRFM!D24*2.69*254)/100000</f>
        <v>317.5040894</v>
      </c>
      <c r="D26" s="329">
        <f>T5_PLAN_vs_PRFM!D24*254*1.79/100000</f>
        <v>211.27595539999999</v>
      </c>
      <c r="E26" s="329">
        <f t="shared" si="0"/>
        <v>528.78004480000004</v>
      </c>
      <c r="F26" s="330">
        <v>44.085729395999977</v>
      </c>
      <c r="G26" s="330">
        <v>577.56443195064389</v>
      </c>
      <c r="H26" s="329">
        <f t="shared" si="1"/>
        <v>621.65016134664393</v>
      </c>
      <c r="I26" s="330">
        <v>273.41836000400002</v>
      </c>
      <c r="J26" s="329">
        <v>172.1815857</v>
      </c>
      <c r="K26" s="329">
        <f t="shared" si="2"/>
        <v>445.59994570399999</v>
      </c>
      <c r="L26" s="329">
        <f>T5_PLAN_vs_PRFM!H24*2.69/100000+'T5B_PLAN_vs_PRFM  (2)'!H24*4.03/100000</f>
        <v>155.83990449999999</v>
      </c>
      <c r="M26" s="329">
        <f>T5_PLAN_vs_PRFM!H24*1.79/100000+'T5B_PLAN_vs_PRFM  (2)'!H24*2.68/100000</f>
        <v>103.70015950000001</v>
      </c>
      <c r="N26" s="329">
        <f t="shared" si="3"/>
        <v>259.54006400000003</v>
      </c>
      <c r="O26" s="329">
        <f t="shared" si="4"/>
        <v>161.66418490000001</v>
      </c>
      <c r="P26" s="329">
        <f t="shared" si="5"/>
        <v>646.04585815064388</v>
      </c>
      <c r="Q26" s="329">
        <f t="shared" si="6"/>
        <v>807.71004305064389</v>
      </c>
      <c r="S26" s="463"/>
      <c r="T26" s="463"/>
      <c r="U26" s="463"/>
      <c r="W26" s="465"/>
      <c r="X26" s="465"/>
      <c r="Z26" s="465"/>
      <c r="AB26" s="465"/>
      <c r="AC26" s="465"/>
      <c r="AD26" s="465"/>
      <c r="AE26" s="465"/>
      <c r="AG26" s="465"/>
    </row>
    <row r="27" spans="1:33" x14ac:dyDescent="0.2">
      <c r="A27" s="17">
        <v>14</v>
      </c>
      <c r="B27" s="176" t="s">
        <v>909</v>
      </c>
      <c r="C27" s="329">
        <f>(T5_PLAN_vs_PRFM!D25*2.69*254)/100000</f>
        <v>343.54312800000002</v>
      </c>
      <c r="D27" s="329">
        <f>T5_PLAN_vs_PRFM!D25*254*1.79/100000</f>
        <v>228.603048</v>
      </c>
      <c r="E27" s="329">
        <f t="shared" si="0"/>
        <v>572.14617599999997</v>
      </c>
      <c r="F27" s="330">
        <v>57.935272833999932</v>
      </c>
      <c r="G27" s="330">
        <v>215.33589816972045</v>
      </c>
      <c r="H27" s="329">
        <f t="shared" si="1"/>
        <v>273.27117100372038</v>
      </c>
      <c r="I27" s="330">
        <v>285.60785516600004</v>
      </c>
      <c r="J27" s="329">
        <v>186.30248399999999</v>
      </c>
      <c r="K27" s="329">
        <f t="shared" si="2"/>
        <v>471.91033916600003</v>
      </c>
      <c r="L27" s="329">
        <f>T5_PLAN_vs_PRFM!H25*2.69/100000+'T5B_PLAN_vs_PRFM  (2)'!H25*4.03/100000</f>
        <v>181.72413359999999</v>
      </c>
      <c r="M27" s="329">
        <f>T5_PLAN_vs_PRFM!H25*1.79/100000+'T5B_PLAN_vs_PRFM  (2)'!H25*2.68/100000</f>
        <v>120.9242376</v>
      </c>
      <c r="N27" s="329">
        <f t="shared" si="3"/>
        <v>302.64837119999999</v>
      </c>
      <c r="O27" s="329">
        <f t="shared" si="4"/>
        <v>161.81899439999998</v>
      </c>
      <c r="P27" s="329">
        <f t="shared" si="5"/>
        <v>280.71414456972047</v>
      </c>
      <c r="Q27" s="329">
        <f t="shared" si="6"/>
        <v>442.53313896972048</v>
      </c>
      <c r="S27" s="463"/>
      <c r="T27" s="463"/>
      <c r="U27" s="463"/>
      <c r="W27" s="465"/>
      <c r="X27" s="465"/>
      <c r="Z27" s="465"/>
      <c r="AB27" s="465"/>
      <c r="AC27" s="465"/>
      <c r="AD27" s="465"/>
      <c r="AE27" s="465"/>
      <c r="AG27" s="465"/>
    </row>
    <row r="28" spans="1:33" x14ac:dyDescent="0.2">
      <c r="A28" s="17">
        <v>15</v>
      </c>
      <c r="B28" s="176" t="s">
        <v>910</v>
      </c>
      <c r="C28" s="329">
        <f>(T5_PLAN_vs_PRFM!D26*2.69*254)/100000</f>
        <v>739.75193679999995</v>
      </c>
      <c r="D28" s="329">
        <f>T5_PLAN_vs_PRFM!D26*254*1.79/100000</f>
        <v>492.25128880000005</v>
      </c>
      <c r="E28" s="329">
        <f t="shared" si="0"/>
        <v>1232.0032256</v>
      </c>
      <c r="F28" s="330">
        <v>63.980076761999953</v>
      </c>
      <c r="G28" s="330">
        <v>407.67798385650076</v>
      </c>
      <c r="H28" s="329">
        <f t="shared" si="1"/>
        <v>471.65806061850071</v>
      </c>
      <c r="I28" s="330">
        <v>675.771860038</v>
      </c>
      <c r="J28" s="329">
        <v>401.16542040000002</v>
      </c>
      <c r="K28" s="329">
        <f t="shared" si="2"/>
        <v>1076.937280438</v>
      </c>
      <c r="L28" s="329">
        <f>T5_PLAN_vs_PRFM!H26*2.69/100000+'T5B_PLAN_vs_PRFM  (2)'!H26*4.03/100000</f>
        <v>406.80681699999997</v>
      </c>
      <c r="M28" s="329">
        <f>T5_PLAN_vs_PRFM!H26*1.79/100000+'T5B_PLAN_vs_PRFM  (2)'!H26*2.68/100000</f>
        <v>270.700447</v>
      </c>
      <c r="N28" s="329">
        <f t="shared" si="3"/>
        <v>677.50726399999996</v>
      </c>
      <c r="O28" s="329">
        <f t="shared" si="4"/>
        <v>332.94511979999999</v>
      </c>
      <c r="P28" s="329">
        <f t="shared" si="5"/>
        <v>538.14295725650072</v>
      </c>
      <c r="Q28" s="329">
        <f t="shared" si="6"/>
        <v>871.08807705650077</v>
      </c>
      <c r="S28" s="463"/>
      <c r="T28" s="463"/>
      <c r="U28" s="463"/>
      <c r="W28" s="465"/>
      <c r="X28" s="465"/>
      <c r="Z28" s="465"/>
      <c r="AB28" s="465"/>
      <c r="AC28" s="465"/>
      <c r="AD28" s="465"/>
      <c r="AE28" s="465"/>
      <c r="AG28" s="465"/>
    </row>
    <row r="29" spans="1:33" x14ac:dyDescent="0.2">
      <c r="A29" s="17">
        <v>16</v>
      </c>
      <c r="B29" s="176" t="s">
        <v>911</v>
      </c>
      <c r="C29" s="329">
        <f>(T5_PLAN_vs_PRFM!D27*2.69*254)/100000</f>
        <v>1129.8319033999999</v>
      </c>
      <c r="D29" s="329">
        <f>T5_PLAN_vs_PRFM!D27*254*1.79/100000</f>
        <v>751.82122939999999</v>
      </c>
      <c r="E29" s="329">
        <f t="shared" si="0"/>
        <v>1881.6531327999999</v>
      </c>
      <c r="F29" s="330">
        <v>57.786923348000073</v>
      </c>
      <c r="G29" s="330">
        <v>931.22564285585054</v>
      </c>
      <c r="H29" s="329">
        <f t="shared" si="1"/>
        <v>989.01256620385061</v>
      </c>
      <c r="I29" s="330">
        <v>1072.044980052</v>
      </c>
      <c r="J29" s="329">
        <v>612.70470269999998</v>
      </c>
      <c r="K29" s="329">
        <f t="shared" si="2"/>
        <v>1684.7496827519999</v>
      </c>
      <c r="L29" s="329">
        <f>T5_PLAN_vs_PRFM!H27*2.69/100000+'T5B_PLAN_vs_PRFM  (2)'!H27*4.03/100000</f>
        <v>699.94937870000001</v>
      </c>
      <c r="M29" s="329">
        <f>T5_PLAN_vs_PRFM!H27*1.79/100000+'T5B_PLAN_vs_PRFM  (2)'!H27*2.68/100000</f>
        <v>465.76557170000001</v>
      </c>
      <c r="N29" s="329">
        <f t="shared" si="3"/>
        <v>1165.7149503999999</v>
      </c>
      <c r="O29" s="329">
        <f t="shared" si="4"/>
        <v>429.88252470000009</v>
      </c>
      <c r="P29" s="329">
        <f t="shared" si="5"/>
        <v>1078.1647738558506</v>
      </c>
      <c r="Q29" s="329">
        <f t="shared" si="6"/>
        <v>1508.0472985558508</v>
      </c>
      <c r="S29" s="463"/>
      <c r="T29" s="463"/>
      <c r="U29" s="463"/>
      <c r="W29" s="465"/>
      <c r="X29" s="465"/>
      <c r="Z29" s="465"/>
      <c r="AB29" s="465"/>
      <c r="AC29" s="465"/>
      <c r="AD29" s="465"/>
      <c r="AE29" s="465"/>
      <c r="AG29" s="465"/>
    </row>
    <row r="30" spans="1:33" x14ac:dyDescent="0.2">
      <c r="A30" s="17">
        <v>17</v>
      </c>
      <c r="B30" s="176" t="s">
        <v>912</v>
      </c>
      <c r="C30" s="329">
        <f>(T5_PLAN_vs_PRFM!D28*2.69*254)/100000</f>
        <v>738.64505559999998</v>
      </c>
      <c r="D30" s="329">
        <f>T5_PLAN_vs_PRFM!D28*254*1.79/100000</f>
        <v>491.51473959999998</v>
      </c>
      <c r="E30" s="329">
        <f t="shared" si="0"/>
        <v>1230.1597952</v>
      </c>
      <c r="F30" s="330">
        <v>111.59205066000004</v>
      </c>
      <c r="G30" s="330">
        <v>319.54945844249187</v>
      </c>
      <c r="H30" s="329">
        <f t="shared" si="1"/>
        <v>431.14150910249191</v>
      </c>
      <c r="I30" s="330">
        <v>627.05300493999994</v>
      </c>
      <c r="J30" s="329">
        <v>400.5651618</v>
      </c>
      <c r="K30" s="329">
        <f t="shared" si="2"/>
        <v>1027.6181667399999</v>
      </c>
      <c r="L30" s="329">
        <f>T5_PLAN_vs_PRFM!H28*2.69/100000+'T5B_PLAN_vs_PRFM  (2)'!H28*4.03/100000</f>
        <v>386.1944499</v>
      </c>
      <c r="M30" s="329">
        <f>T5_PLAN_vs_PRFM!H28*1.79/100000+'T5B_PLAN_vs_PRFM  (2)'!H28*2.68/100000</f>
        <v>256.9844109</v>
      </c>
      <c r="N30" s="329">
        <f t="shared" si="3"/>
        <v>643.17886079999994</v>
      </c>
      <c r="O30" s="329">
        <f t="shared" si="4"/>
        <v>352.45060569999998</v>
      </c>
      <c r="P30" s="329">
        <f t="shared" si="5"/>
        <v>463.13020934249181</v>
      </c>
      <c r="Q30" s="329">
        <f t="shared" si="6"/>
        <v>815.58081504249185</v>
      </c>
      <c r="S30" s="463"/>
      <c r="T30" s="463"/>
      <c r="U30" s="463"/>
      <c r="W30" s="465"/>
      <c r="X30" s="465"/>
      <c r="Z30" s="465"/>
      <c r="AB30" s="465"/>
      <c r="AC30" s="465"/>
      <c r="AD30" s="465"/>
      <c r="AE30" s="465"/>
      <c r="AG30" s="465"/>
    </row>
    <row r="31" spans="1:33" x14ac:dyDescent="0.2">
      <c r="A31" s="17">
        <v>18</v>
      </c>
      <c r="B31" s="176" t="s">
        <v>913</v>
      </c>
      <c r="C31" s="329">
        <f>(T5_PLAN_vs_PRFM!D29*2.69*254)/100000</f>
        <v>641.137021</v>
      </c>
      <c r="D31" s="329">
        <f>T5_PLAN_vs_PRFM!D29*254*1.79/100000</f>
        <v>426.63021100000003</v>
      </c>
      <c r="E31" s="329">
        <f t="shared" si="0"/>
        <v>1067.7672320000001</v>
      </c>
      <c r="F31" s="330">
        <v>124.97135473400016</v>
      </c>
      <c r="G31" s="330">
        <v>473.81547349769505</v>
      </c>
      <c r="H31" s="329">
        <f t="shared" si="1"/>
        <v>598.78682823169515</v>
      </c>
      <c r="I31" s="330">
        <v>516.16566626599979</v>
      </c>
      <c r="J31" s="329">
        <v>347.6868255</v>
      </c>
      <c r="K31" s="329">
        <f t="shared" si="2"/>
        <v>863.85249176599973</v>
      </c>
      <c r="L31" s="329">
        <f>T5_PLAN_vs_PRFM!H29*2.69/100000+'T5B_PLAN_vs_PRFM  (2)'!H29*4.03/100000</f>
        <v>338.63533060000003</v>
      </c>
      <c r="M31" s="329">
        <f>T5_PLAN_vs_PRFM!H29*1.79/100000+'T5B_PLAN_vs_PRFM  (2)'!H29*2.68/100000</f>
        <v>225.3372646</v>
      </c>
      <c r="N31" s="329">
        <f t="shared" si="3"/>
        <v>563.9725952</v>
      </c>
      <c r="O31" s="329">
        <f t="shared" si="4"/>
        <v>302.50169039999997</v>
      </c>
      <c r="P31" s="329">
        <f t="shared" si="5"/>
        <v>596.16503439769508</v>
      </c>
      <c r="Q31" s="329">
        <f t="shared" si="6"/>
        <v>898.66672479769488</v>
      </c>
      <c r="S31" s="463"/>
      <c r="T31" s="463"/>
      <c r="U31" s="463"/>
      <c r="W31" s="465"/>
      <c r="X31" s="465"/>
      <c r="Z31" s="465"/>
      <c r="AB31" s="465"/>
      <c r="AC31" s="465"/>
      <c r="AD31" s="465"/>
      <c r="AE31" s="465"/>
      <c r="AG31" s="465"/>
    </row>
    <row r="32" spans="1:33" x14ac:dyDescent="0.2">
      <c r="A32" s="17">
        <v>19</v>
      </c>
      <c r="B32" s="176" t="s">
        <v>914</v>
      </c>
      <c r="C32" s="329">
        <f>(T5_PLAN_vs_PRFM!D30*2.69*254)/100000</f>
        <v>591.91497059999995</v>
      </c>
      <c r="D32" s="329">
        <f>T5_PLAN_vs_PRFM!D30*254*1.79/100000</f>
        <v>393.87650460000003</v>
      </c>
      <c r="E32" s="329">
        <f t="shared" si="0"/>
        <v>985.79147519999992</v>
      </c>
      <c r="F32" s="330">
        <v>136.50557679600001</v>
      </c>
      <c r="G32" s="330">
        <v>360.46046576821283</v>
      </c>
      <c r="H32" s="329">
        <f t="shared" si="1"/>
        <v>496.96604256421284</v>
      </c>
      <c r="I32" s="330">
        <v>455.40939380400005</v>
      </c>
      <c r="J32" s="329">
        <v>320.99384429999998</v>
      </c>
      <c r="K32" s="329">
        <f t="shared" si="2"/>
        <v>776.40323810400002</v>
      </c>
      <c r="L32" s="329">
        <f>T5_PLAN_vs_PRFM!H30*2.69/100000+'T5B_PLAN_vs_PRFM  (2)'!H30*4.03/100000</f>
        <v>398.48671829999995</v>
      </c>
      <c r="M32" s="329">
        <f>T5_PLAN_vs_PRFM!H30*1.79/100000+'T5B_PLAN_vs_PRFM  (2)'!H30*2.68/100000</f>
        <v>265.16131680000001</v>
      </c>
      <c r="N32" s="329">
        <f t="shared" si="3"/>
        <v>663.64803510000002</v>
      </c>
      <c r="O32" s="329">
        <f t="shared" si="4"/>
        <v>193.42825230000011</v>
      </c>
      <c r="P32" s="329">
        <f t="shared" si="5"/>
        <v>416.29299326821285</v>
      </c>
      <c r="Q32" s="329">
        <f t="shared" si="6"/>
        <v>609.72124556821291</v>
      </c>
      <c r="S32" s="463"/>
      <c r="T32" s="463"/>
      <c r="U32" s="463"/>
      <c r="W32" s="465"/>
      <c r="X32" s="465"/>
      <c r="Z32" s="465"/>
      <c r="AB32" s="465"/>
      <c r="AC32" s="465"/>
      <c r="AD32" s="465"/>
      <c r="AE32" s="465"/>
      <c r="AG32" s="465"/>
    </row>
    <row r="33" spans="1:35" x14ac:dyDescent="0.2">
      <c r="A33" s="17">
        <v>20</v>
      </c>
      <c r="B33" s="176" t="s">
        <v>915</v>
      </c>
      <c r="C33" s="329">
        <f>(T5_PLAN_vs_PRFM!D31*2.69*254)/100000</f>
        <v>425.42500640000003</v>
      </c>
      <c r="D33" s="329">
        <f>T5_PLAN_vs_PRFM!D31*254*1.79/100000</f>
        <v>283.08950240000001</v>
      </c>
      <c r="E33" s="329">
        <f t="shared" si="0"/>
        <v>708.51450880000004</v>
      </c>
      <c r="F33" s="330">
        <v>42.020395786000051</v>
      </c>
      <c r="G33" s="330">
        <v>69.943459317640418</v>
      </c>
      <c r="H33" s="329">
        <f t="shared" si="1"/>
        <v>111.96385510364047</v>
      </c>
      <c r="I33" s="330">
        <v>383.40461061399998</v>
      </c>
      <c r="J33" s="329">
        <v>230.70679920000001</v>
      </c>
      <c r="K33" s="329">
        <f t="shared" si="2"/>
        <v>614.11140981400001</v>
      </c>
      <c r="L33" s="329">
        <f>T5_PLAN_vs_PRFM!H31*2.69/100000+'T5B_PLAN_vs_PRFM  (2)'!H31*4.03/100000</f>
        <v>221.10836979999999</v>
      </c>
      <c r="M33" s="329">
        <f>T5_PLAN_vs_PRFM!H31*1.79/100000+'T5B_PLAN_vs_PRFM  (2)'!H31*2.68/100000</f>
        <v>147.1315918</v>
      </c>
      <c r="N33" s="329">
        <f t="shared" si="3"/>
        <v>368.23996160000002</v>
      </c>
      <c r="O33" s="329">
        <f t="shared" si="4"/>
        <v>204.31663660000004</v>
      </c>
      <c r="P33" s="329">
        <f t="shared" si="5"/>
        <v>153.5186667176404</v>
      </c>
      <c r="Q33" s="329">
        <f t="shared" si="6"/>
        <v>357.83530331764041</v>
      </c>
      <c r="S33" s="463"/>
      <c r="T33" s="463"/>
      <c r="U33" s="463"/>
      <c r="W33" s="465"/>
      <c r="X33" s="465"/>
      <c r="Z33" s="465"/>
      <c r="AB33" s="465"/>
      <c r="AC33" s="465"/>
      <c r="AD33" s="465"/>
      <c r="AE33" s="465"/>
      <c r="AG33" s="465"/>
    </row>
    <row r="34" spans="1:35" x14ac:dyDescent="0.2">
      <c r="A34" s="17">
        <v>21</v>
      </c>
      <c r="B34" s="176" t="s">
        <v>916</v>
      </c>
      <c r="C34" s="329">
        <f>(T5_PLAN_vs_PRFM!D32*2.69*254)/100000</f>
        <v>583.98232199999995</v>
      </c>
      <c r="D34" s="329">
        <f>T5_PLAN_vs_PRFM!D32*254*1.79/100000</f>
        <v>388.59790200000003</v>
      </c>
      <c r="E34" s="329">
        <f t="shared" si="0"/>
        <v>972.58022400000004</v>
      </c>
      <c r="F34" s="330">
        <v>226.1898209119999</v>
      </c>
      <c r="G34" s="330">
        <v>257.83919645913676</v>
      </c>
      <c r="H34" s="329">
        <f t="shared" si="1"/>
        <v>484.02901737113666</v>
      </c>
      <c r="I34" s="330">
        <v>357.79250108800005</v>
      </c>
      <c r="J34" s="329">
        <v>316.69199100000003</v>
      </c>
      <c r="K34" s="329">
        <f t="shared" si="2"/>
        <v>674.48449208800002</v>
      </c>
      <c r="L34" s="329">
        <f>T5_PLAN_vs_PRFM!H32*2.69/100000+'T5B_PLAN_vs_PRFM  (2)'!H32*4.03/100000</f>
        <v>404.22947420000003</v>
      </c>
      <c r="M34" s="329">
        <f>T5_PLAN_vs_PRFM!H32*1.79/100000+'T5B_PLAN_vs_PRFM  (2)'!H32*2.68/100000</f>
        <v>268.98541219999998</v>
      </c>
      <c r="N34" s="329">
        <f t="shared" si="3"/>
        <v>673.21488640000007</v>
      </c>
      <c r="O34" s="329">
        <f t="shared" si="4"/>
        <v>179.75284779999993</v>
      </c>
      <c r="P34" s="329">
        <f t="shared" si="5"/>
        <v>305.54577525913686</v>
      </c>
      <c r="Q34" s="329">
        <f t="shared" si="6"/>
        <v>485.29862305913662</v>
      </c>
      <c r="S34" s="463"/>
      <c r="T34" s="463"/>
      <c r="U34" s="463"/>
      <c r="W34" s="465"/>
      <c r="X34" s="465"/>
      <c r="Z34" s="465"/>
      <c r="AB34" s="465"/>
      <c r="AC34" s="465"/>
      <c r="AD34" s="465"/>
      <c r="AE34" s="465"/>
      <c r="AG34" s="465"/>
    </row>
    <row r="35" spans="1:35" x14ac:dyDescent="0.2">
      <c r="A35" s="17">
        <v>22</v>
      </c>
      <c r="B35" s="176" t="s">
        <v>917</v>
      </c>
      <c r="C35" s="329">
        <f>(T5_PLAN_vs_PRFM!D33*2.69*254)/100000</f>
        <v>441.44745339999997</v>
      </c>
      <c r="D35" s="329">
        <f>T5_PLAN_vs_PRFM!D33*254*1.79/100000</f>
        <v>293.75127939999999</v>
      </c>
      <c r="E35" s="329">
        <f t="shared" si="0"/>
        <v>735.19873280000002</v>
      </c>
      <c r="F35" s="330">
        <v>111.49070092800002</v>
      </c>
      <c r="G35" s="330">
        <v>-112.47839892249944</v>
      </c>
      <c r="H35" s="329">
        <f t="shared" si="1"/>
        <v>-0.98769799449941331</v>
      </c>
      <c r="I35" s="330">
        <v>329.95675247199995</v>
      </c>
      <c r="J35" s="329">
        <v>239.39572770000001</v>
      </c>
      <c r="K35" s="329">
        <f t="shared" si="2"/>
        <v>569.35248017200001</v>
      </c>
      <c r="L35" s="329">
        <f>T5_PLAN_vs_PRFM!H33*2.69/100000+'T5B_PLAN_vs_PRFM  (2)'!H33*4.03/100000</f>
        <v>265.34921480000003</v>
      </c>
      <c r="M35" s="329">
        <f>T5_PLAN_vs_PRFM!H33*1.79/100000+'T5B_PLAN_vs_PRFM  (2)'!H33*2.68/100000</f>
        <v>176.57065879999999</v>
      </c>
      <c r="N35" s="329">
        <f t="shared" si="3"/>
        <v>441.91987360000002</v>
      </c>
      <c r="O35" s="329">
        <f t="shared" si="4"/>
        <v>176.09823859999995</v>
      </c>
      <c r="P35" s="329">
        <f t="shared" si="5"/>
        <v>-49.653330022499418</v>
      </c>
      <c r="Q35" s="329">
        <f t="shared" si="6"/>
        <v>126.4449085775006</v>
      </c>
      <c r="S35" s="463"/>
      <c r="T35" s="463"/>
      <c r="U35" s="463"/>
      <c r="W35" s="465"/>
      <c r="X35" s="465"/>
      <c r="Z35" s="465"/>
      <c r="AB35" s="465"/>
      <c r="AC35" s="465"/>
      <c r="AD35" s="465"/>
      <c r="AE35" s="465"/>
      <c r="AG35" s="465"/>
    </row>
    <row r="36" spans="1:35" x14ac:dyDescent="0.2">
      <c r="A36" s="17">
        <v>23</v>
      </c>
      <c r="B36" s="176" t="s">
        <v>918</v>
      </c>
      <c r="C36" s="329">
        <f>(T5_PLAN_vs_PRFM!D34*2.69*254)/100000</f>
        <v>747.41811399999995</v>
      </c>
      <c r="D36" s="329">
        <f>T5_PLAN_vs_PRFM!D34*254*1.79/100000</f>
        <v>497.352574</v>
      </c>
      <c r="E36" s="329">
        <f t="shared" si="0"/>
        <v>1244.7706880000001</v>
      </c>
      <c r="F36" s="330">
        <v>277.72942747000013</v>
      </c>
      <c r="G36" s="330">
        <v>388.52383622914567</v>
      </c>
      <c r="H36" s="329">
        <f t="shared" si="1"/>
        <v>666.2532636991458</v>
      </c>
      <c r="I36" s="330">
        <v>469.68868652999993</v>
      </c>
      <c r="J36" s="329">
        <v>405.32276700000006</v>
      </c>
      <c r="K36" s="329">
        <f t="shared" si="2"/>
        <v>875.01145352999993</v>
      </c>
      <c r="L36" s="329">
        <f>T5_PLAN_vs_PRFM!H34*2.69/100000+'T5B_PLAN_vs_PRFM  (2)'!H34*4.03/100000</f>
        <v>450.11837250000002</v>
      </c>
      <c r="M36" s="329">
        <f>T5_PLAN_vs_PRFM!H34*1.79/100000+'T5B_PLAN_vs_PRFM  (2)'!H34*2.68/100000</f>
        <v>299.52114749999998</v>
      </c>
      <c r="N36" s="329">
        <f t="shared" si="3"/>
        <v>749.63951999999995</v>
      </c>
      <c r="O36" s="329">
        <f t="shared" si="4"/>
        <v>297.29974150000004</v>
      </c>
      <c r="P36" s="329">
        <f t="shared" si="5"/>
        <v>494.3254557291458</v>
      </c>
      <c r="Q36" s="329">
        <f t="shared" si="6"/>
        <v>791.6251972291459</v>
      </c>
      <c r="S36" s="463"/>
      <c r="T36" s="463"/>
      <c r="U36" s="463"/>
      <c r="W36" s="465"/>
      <c r="X36" s="465"/>
      <c r="Z36" s="465"/>
      <c r="AB36" s="465"/>
      <c r="AC36" s="465"/>
      <c r="AD36" s="465"/>
      <c r="AE36" s="465"/>
      <c r="AG36" s="465"/>
    </row>
    <row r="37" spans="1:35" x14ac:dyDescent="0.2">
      <c r="A37" s="17">
        <v>24</v>
      </c>
      <c r="B37" s="18" t="s">
        <v>919</v>
      </c>
      <c r="C37" s="329">
        <f>(T5_PLAN_vs_PRFM!D35*2.69*254)/100000</f>
        <v>851.25996879999991</v>
      </c>
      <c r="D37" s="329">
        <f>T5_PLAN_vs_PRFM!D35*254*1.79/100000</f>
        <v>566.4518008</v>
      </c>
      <c r="E37" s="329">
        <f t="shared" si="0"/>
        <v>1417.7117696</v>
      </c>
      <c r="F37" s="330">
        <v>112.01418347799995</v>
      </c>
      <c r="G37" s="330">
        <v>-173.95879825429688</v>
      </c>
      <c r="H37" s="329">
        <f t="shared" si="1"/>
        <v>-61.94461477629693</v>
      </c>
      <c r="I37" s="330">
        <v>739.24578532199996</v>
      </c>
      <c r="J37" s="329">
        <v>461.63591639999999</v>
      </c>
      <c r="K37" s="329">
        <f t="shared" si="2"/>
        <v>1200.8817017219999</v>
      </c>
      <c r="L37" s="329">
        <f>T5_PLAN_vs_PRFM!H35*2.69/100000+'T5B_PLAN_vs_PRFM  (2)'!H35*4.03/100000</f>
        <v>448.76678199999998</v>
      </c>
      <c r="M37" s="329">
        <f>T5_PLAN_vs_PRFM!H35*1.79/100000+'T5B_PLAN_vs_PRFM  (2)'!H35*2.68/100000</f>
        <v>298.62176199999999</v>
      </c>
      <c r="N37" s="329">
        <f t="shared" si="3"/>
        <v>747.38854399999991</v>
      </c>
      <c r="O37" s="329">
        <f t="shared" si="4"/>
        <v>402.49318679999993</v>
      </c>
      <c r="P37" s="329">
        <f t="shared" si="5"/>
        <v>-10.944643854296885</v>
      </c>
      <c r="Q37" s="329">
        <f t="shared" si="6"/>
        <v>391.54854294570305</v>
      </c>
      <c r="S37" s="463"/>
      <c r="T37" s="463"/>
      <c r="U37" s="463"/>
      <c r="W37" s="465"/>
      <c r="X37" s="465"/>
      <c r="Z37" s="465"/>
      <c r="AB37" s="465"/>
      <c r="AC37" s="465"/>
      <c r="AD37" s="465"/>
      <c r="AE37" s="465"/>
      <c r="AG37" s="465"/>
    </row>
    <row r="38" spans="1:35" x14ac:dyDescent="0.2">
      <c r="A38" s="798" t="s">
        <v>18</v>
      </c>
      <c r="B38" s="800"/>
      <c r="C38" s="331">
        <f>SUM(C14:C37)</f>
        <v>15679.327493199999</v>
      </c>
      <c r="D38" s="331">
        <f t="shared" ref="D38:Q38" si="7">SUM(D14:D37)</f>
        <v>10433.455841200001</v>
      </c>
      <c r="E38" s="331">
        <f t="shared" si="7"/>
        <v>26112.783334399999</v>
      </c>
      <c r="F38" s="331">
        <f t="shared" si="7"/>
        <v>2828.7312683900009</v>
      </c>
      <c r="G38" s="331">
        <f t="shared" si="7"/>
        <v>7933.2905645647452</v>
      </c>
      <c r="H38" s="331">
        <f t="shared" si="7"/>
        <v>10762.021832954746</v>
      </c>
      <c r="I38" s="331">
        <f t="shared" si="7"/>
        <v>12850.596224810002</v>
      </c>
      <c r="J38" s="331">
        <f t="shared" si="7"/>
        <v>8502.8557445999995</v>
      </c>
      <c r="K38" s="331">
        <f t="shared" si="7"/>
        <v>21353.451969409994</v>
      </c>
      <c r="L38" s="331">
        <f t="shared" si="7"/>
        <v>8828.4500355</v>
      </c>
      <c r="M38" s="331">
        <f t="shared" si="7"/>
        <v>5874.6849149999998</v>
      </c>
      <c r="N38" s="331">
        <f t="shared" si="7"/>
        <v>14703.134950500005</v>
      </c>
      <c r="O38" s="331">
        <f t="shared" si="7"/>
        <v>6850.8774577000013</v>
      </c>
      <c r="P38" s="331">
        <f t="shared" si="7"/>
        <v>10561.461394164748</v>
      </c>
      <c r="Q38" s="331">
        <f t="shared" si="7"/>
        <v>17412.338851864748</v>
      </c>
      <c r="S38" s="466"/>
      <c r="T38" s="466"/>
      <c r="U38" s="466"/>
      <c r="W38" s="468"/>
      <c r="X38" s="468"/>
      <c r="Y38" s="298"/>
      <c r="Z38" s="468"/>
      <c r="AB38" s="468"/>
      <c r="AC38" s="468"/>
      <c r="AD38" s="468"/>
      <c r="AE38" s="468"/>
    </row>
    <row r="39" spans="1:35" s="731" customFormat="1" x14ac:dyDescent="0.2">
      <c r="A39" s="741"/>
      <c r="B39" s="741"/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S39" s="466"/>
      <c r="T39" s="466"/>
      <c r="U39" s="466"/>
      <c r="V39" s="462"/>
      <c r="W39" s="468"/>
      <c r="X39" s="468"/>
      <c r="Y39" s="298"/>
      <c r="Z39" s="468"/>
      <c r="AA39" s="462"/>
      <c r="AB39" s="468"/>
      <c r="AC39" s="468"/>
      <c r="AD39" s="468"/>
      <c r="AE39" s="468"/>
      <c r="AF39" s="462"/>
      <c r="AG39" s="462"/>
      <c r="AH39" s="462"/>
      <c r="AI39" s="462"/>
    </row>
    <row r="40" spans="1:35" s="731" customFormat="1" x14ac:dyDescent="0.2">
      <c r="A40" s="741"/>
      <c r="B40" s="741"/>
      <c r="C40" s="785">
        <f>'T7ACC_UPY_Utlsn '!C37</f>
        <v>10248.732977600001</v>
      </c>
      <c r="D40" s="785">
        <f>'T7ACC_UPY_Utlsn '!D37</f>
        <v>6815.5345856000004</v>
      </c>
      <c r="E40" s="785">
        <f>'T7ACC_UPY_Utlsn '!E37</f>
        <v>17064.267563199999</v>
      </c>
      <c r="F40" s="785">
        <f>'T7ACC_UPY_Utlsn '!F37</f>
        <v>1401.2869678776005</v>
      </c>
      <c r="G40" s="785">
        <f>'T7ACC_UPY_Utlsn '!G37</f>
        <v>2633.5909044148157</v>
      </c>
      <c r="H40" s="785">
        <f>'T7ACC_UPY_Utlsn '!H37</f>
        <v>4034.8778722924171</v>
      </c>
      <c r="I40" s="785">
        <f>'T7ACC_UPY_Utlsn '!I37</f>
        <v>8847.4460097224019</v>
      </c>
      <c r="J40" s="785">
        <f>'T7ACC_UPY_Utlsn '!J37</f>
        <v>5522.6029188000002</v>
      </c>
      <c r="K40" s="785">
        <f>'T7ACC_UPY_Utlsn '!K37</f>
        <v>14370.048928522403</v>
      </c>
      <c r="L40" s="785">
        <f>'T7ACC_UPY_Utlsn '!L37</f>
        <v>6261.3800496000022</v>
      </c>
      <c r="M40" s="785">
        <f>'T7ACC_UPY_Utlsn '!M37</f>
        <v>4163.8954175999997</v>
      </c>
      <c r="N40" s="785">
        <f>'T7ACC_UPY_Utlsn '!N37</f>
        <v>10425.275467200003</v>
      </c>
      <c r="O40" s="785">
        <f>'T7ACC_UPY_Utlsn '!O37</f>
        <v>3987.3529280000007</v>
      </c>
      <c r="P40" s="785">
        <f>'T7ACC_UPY_Utlsn '!P37</f>
        <v>3992.2984056148161</v>
      </c>
      <c r="Q40" s="785">
        <f>'T7ACC_UPY_Utlsn '!Q37</f>
        <v>7979.6513336148164</v>
      </c>
      <c r="S40" s="466"/>
      <c r="T40" s="466"/>
      <c r="U40" s="466"/>
      <c r="V40" s="462"/>
      <c r="W40" s="468"/>
      <c r="X40" s="468"/>
      <c r="Y40" s="298"/>
      <c r="Z40" s="468"/>
      <c r="AA40" s="462"/>
      <c r="AB40" s="468"/>
      <c r="AC40" s="468"/>
      <c r="AD40" s="468"/>
      <c r="AE40" s="468"/>
      <c r="AF40" s="462"/>
      <c r="AG40" s="462"/>
      <c r="AH40" s="462"/>
      <c r="AI40" s="462"/>
    </row>
    <row r="41" spans="1:35" s="731" customFormat="1" x14ac:dyDescent="0.2">
      <c r="A41" s="741"/>
      <c r="B41" s="741"/>
      <c r="C41" s="785">
        <f>C40+C38</f>
        <v>25928.060470799999</v>
      </c>
      <c r="D41" s="785">
        <f t="shared" ref="D41:Q41" si="8">D40+D38</f>
        <v>17248.990426800003</v>
      </c>
      <c r="E41" s="786">
        <f t="shared" si="8"/>
        <v>43177.050897599998</v>
      </c>
      <c r="F41" s="785">
        <f t="shared" si="8"/>
        <v>4230.0182362676014</v>
      </c>
      <c r="G41" s="785">
        <f t="shared" si="8"/>
        <v>10566.881468979562</v>
      </c>
      <c r="H41" s="786">
        <f t="shared" si="8"/>
        <v>14796.899705247164</v>
      </c>
      <c r="I41" s="785">
        <f t="shared" si="8"/>
        <v>21698.042234532404</v>
      </c>
      <c r="J41" s="785">
        <f t="shared" si="8"/>
        <v>14025.458663400001</v>
      </c>
      <c r="K41" s="786">
        <f t="shared" si="8"/>
        <v>35723.500897932397</v>
      </c>
      <c r="L41" s="785">
        <f t="shared" si="8"/>
        <v>15089.830085100002</v>
      </c>
      <c r="M41" s="785">
        <f t="shared" si="8"/>
        <v>10038.580332599999</v>
      </c>
      <c r="N41" s="786">
        <f t="shared" si="8"/>
        <v>25128.410417700008</v>
      </c>
      <c r="O41" s="785">
        <f t="shared" si="8"/>
        <v>10838.230385700002</v>
      </c>
      <c r="P41" s="785">
        <f t="shared" si="8"/>
        <v>14553.759799779564</v>
      </c>
      <c r="Q41" s="786">
        <f t="shared" si="8"/>
        <v>25391.990185479564</v>
      </c>
      <c r="S41" s="466"/>
      <c r="T41" s="466"/>
      <c r="U41" s="466"/>
      <c r="V41" s="462"/>
      <c r="W41" s="468"/>
      <c r="X41" s="468"/>
      <c r="Y41" s="298"/>
      <c r="Z41" s="468"/>
      <c r="AA41" s="462"/>
      <c r="AB41" s="468"/>
      <c r="AC41" s="468"/>
      <c r="AD41" s="468"/>
      <c r="AE41" s="468"/>
      <c r="AF41" s="462"/>
      <c r="AG41" s="462"/>
      <c r="AH41" s="462"/>
      <c r="AI41" s="462"/>
    </row>
    <row r="42" spans="1:35" x14ac:dyDescent="0.2">
      <c r="A42" s="11"/>
      <c r="B42" s="28"/>
      <c r="C42" s="28"/>
      <c r="D42" s="28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35" ht="14.25" customHeight="1" x14ac:dyDescent="0.2">
      <c r="A43" s="965" t="s">
        <v>662</v>
      </c>
      <c r="B43" s="965"/>
      <c r="C43" s="965"/>
      <c r="D43" s="965"/>
      <c r="E43" s="965"/>
      <c r="F43" s="965"/>
      <c r="G43" s="965"/>
      <c r="H43" s="965"/>
      <c r="I43" s="965"/>
      <c r="J43" s="965"/>
      <c r="K43" s="965"/>
      <c r="L43" s="965"/>
      <c r="M43" s="965"/>
      <c r="N43" s="965"/>
      <c r="O43" s="965"/>
      <c r="P43" s="965"/>
      <c r="Q43" s="965"/>
    </row>
    <row r="44" spans="1:35" ht="15.75" customHeight="1" x14ac:dyDescent="0.2">
      <c r="A44" s="32"/>
      <c r="B44" s="39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39"/>
      <c r="P44" s="39"/>
      <c r="Q44" s="39"/>
      <c r="AE44" s="533"/>
    </row>
    <row r="45" spans="1:35" ht="15.75" customHeight="1" x14ac:dyDescent="0.2">
      <c r="A45" s="14" t="s">
        <v>11</v>
      </c>
      <c r="B45" s="14"/>
      <c r="C45" s="468">
        <f>C38+'T7ACC_UPY_Utlsn '!C37</f>
        <v>25928.060470799999</v>
      </c>
      <c r="D45" s="468">
        <f>D38+'T7ACC_UPY_Utlsn '!D37</f>
        <v>17248.990426800003</v>
      </c>
      <c r="E45" s="468">
        <f>E38+'T7ACC_UPY_Utlsn '!E37</f>
        <v>43177.050897599998</v>
      </c>
      <c r="F45" s="468">
        <f>F38+'T7ACC_UPY_Utlsn '!F37</f>
        <v>4230.0182362676014</v>
      </c>
      <c r="G45" s="468">
        <f>G38+'T7ACC_UPY_Utlsn '!G37</f>
        <v>10566.881468979562</v>
      </c>
      <c r="H45" s="468">
        <f>H38+'T7ACC_UPY_Utlsn '!H37</f>
        <v>14796.899705247164</v>
      </c>
      <c r="I45" s="468">
        <f>I38+'T7ACC_UPY_Utlsn '!I37</f>
        <v>21698.042234532404</v>
      </c>
      <c r="J45" s="468">
        <f>J38+'T7ACC_UPY_Utlsn '!J37</f>
        <v>14025.458663400001</v>
      </c>
      <c r="K45" s="468">
        <f>K38+'T7ACC_UPY_Utlsn '!K37</f>
        <v>35723.500897932397</v>
      </c>
      <c r="L45" s="468">
        <f>L38+'T7ACC_UPY_Utlsn '!L37</f>
        <v>15089.830085100002</v>
      </c>
      <c r="M45" s="468">
        <f>M38+'T7ACC_UPY_Utlsn '!M37</f>
        <v>10038.580332599999</v>
      </c>
      <c r="N45" s="468">
        <f>N38+'T7ACC_UPY_Utlsn '!N37</f>
        <v>25128.410417700008</v>
      </c>
      <c r="P45" s="803" t="s">
        <v>12</v>
      </c>
      <c r="Q45" s="803"/>
    </row>
    <row r="46" spans="1:35" ht="12.75" customHeight="1" x14ac:dyDescent="0.2">
      <c r="A46" s="803" t="s">
        <v>13</v>
      </c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</row>
    <row r="47" spans="1:35" ht="12.75" customHeight="1" x14ac:dyDescent="0.2">
      <c r="A47" s="803" t="s">
        <v>19</v>
      </c>
      <c r="B47" s="803"/>
      <c r="C47" s="803"/>
      <c r="D47" s="803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3"/>
      <c r="P47" s="803"/>
      <c r="Q47" s="803"/>
    </row>
    <row r="48" spans="1:3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O48" s="820" t="s">
        <v>84</v>
      </c>
      <c r="P48" s="820"/>
      <c r="Q48" s="820"/>
      <c r="R48" s="820"/>
    </row>
    <row r="49" spans="1:16" x14ac:dyDescent="0.2">
      <c r="A49" s="462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</row>
    <row r="50" spans="1:16" x14ac:dyDescent="0.2">
      <c r="A50" s="462"/>
      <c r="B50" s="462" t="s">
        <v>26</v>
      </c>
      <c r="C50" s="468">
        <f>C38</f>
        <v>15679.327493199999</v>
      </c>
      <c r="D50" s="468">
        <f t="shared" ref="D50:N50" si="9">D38</f>
        <v>10433.455841200001</v>
      </c>
      <c r="E50" s="468">
        <f t="shared" si="9"/>
        <v>26112.783334399999</v>
      </c>
      <c r="F50" s="468">
        <f t="shared" si="9"/>
        <v>2828.7312683900009</v>
      </c>
      <c r="G50" s="468">
        <f t="shared" si="9"/>
        <v>7933.2905645647452</v>
      </c>
      <c r="H50" s="468">
        <f t="shared" si="9"/>
        <v>10762.021832954746</v>
      </c>
      <c r="I50" s="468">
        <f t="shared" si="9"/>
        <v>12850.596224810002</v>
      </c>
      <c r="J50" s="468">
        <f t="shared" si="9"/>
        <v>8502.8557445999995</v>
      </c>
      <c r="K50" s="468">
        <f t="shared" si="9"/>
        <v>21353.451969409994</v>
      </c>
      <c r="L50" s="468">
        <f t="shared" si="9"/>
        <v>8828.4500355</v>
      </c>
      <c r="M50" s="468">
        <f t="shared" si="9"/>
        <v>5874.6849149999998</v>
      </c>
      <c r="N50" s="468">
        <f t="shared" si="9"/>
        <v>14703.134950500005</v>
      </c>
      <c r="O50" s="462"/>
      <c r="P50" s="462"/>
    </row>
    <row r="51" spans="1:16" x14ac:dyDescent="0.2">
      <c r="A51" s="462"/>
      <c r="B51" s="462" t="s">
        <v>27</v>
      </c>
      <c r="C51" s="298">
        <f>'T7ACC_UPY_Utlsn '!C37</f>
        <v>10248.732977600001</v>
      </c>
      <c r="D51" s="298">
        <f>'T7ACC_UPY_Utlsn '!D37</f>
        <v>6815.5345856000004</v>
      </c>
      <c r="E51" s="298">
        <f>'T7ACC_UPY_Utlsn '!E37</f>
        <v>17064.267563199999</v>
      </c>
      <c r="F51" s="298">
        <f>'T7ACC_UPY_Utlsn '!F37</f>
        <v>1401.2869678776005</v>
      </c>
      <c r="G51" s="298">
        <f>'T7ACC_UPY_Utlsn '!G37</f>
        <v>2633.5909044148157</v>
      </c>
      <c r="H51" s="298">
        <f>'T7ACC_UPY_Utlsn '!H37</f>
        <v>4034.8778722924171</v>
      </c>
      <c r="I51" s="298">
        <f>'T7ACC_UPY_Utlsn '!I37</f>
        <v>8847.4460097224019</v>
      </c>
      <c r="J51" s="298">
        <f>'T7ACC_UPY_Utlsn '!J37</f>
        <v>5522.6029188000002</v>
      </c>
      <c r="K51" s="298">
        <f>'T7ACC_UPY_Utlsn '!K37</f>
        <v>14370.048928522403</v>
      </c>
      <c r="L51" s="298">
        <f>'T7ACC_UPY_Utlsn '!L37</f>
        <v>6261.3800496000022</v>
      </c>
      <c r="M51" s="298">
        <f>'T7ACC_UPY_Utlsn '!M37</f>
        <v>4163.8954175999997</v>
      </c>
      <c r="N51" s="298">
        <f>'T7ACC_UPY_Utlsn '!N37</f>
        <v>10425.275467200003</v>
      </c>
      <c r="O51" s="462"/>
      <c r="P51" s="462"/>
    </row>
    <row r="52" spans="1:16" x14ac:dyDescent="0.2">
      <c r="A52" s="462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</row>
    <row r="53" spans="1:16" x14ac:dyDescent="0.2">
      <c r="A53" s="462"/>
      <c r="B53" s="462" t="s">
        <v>18</v>
      </c>
      <c r="C53" s="468">
        <f t="shared" ref="C53:N53" si="10">SUM(C50:C52)</f>
        <v>25928.060470799999</v>
      </c>
      <c r="D53" s="468">
        <f t="shared" si="10"/>
        <v>17248.990426800003</v>
      </c>
      <c r="E53" s="468">
        <f t="shared" si="10"/>
        <v>43177.050897599998</v>
      </c>
      <c r="F53" s="468">
        <f t="shared" si="10"/>
        <v>4230.0182362676014</v>
      </c>
      <c r="G53" s="468">
        <f t="shared" si="10"/>
        <v>10566.881468979562</v>
      </c>
      <c r="H53" s="468">
        <f t="shared" si="10"/>
        <v>14796.899705247164</v>
      </c>
      <c r="I53" s="468">
        <f t="shared" si="10"/>
        <v>21698.042234532404</v>
      </c>
      <c r="J53" s="468">
        <f t="shared" si="10"/>
        <v>14025.458663400001</v>
      </c>
      <c r="K53" s="468">
        <f t="shared" si="10"/>
        <v>35723.500897932397</v>
      </c>
      <c r="L53" s="468">
        <f t="shared" si="10"/>
        <v>15089.830085100002</v>
      </c>
      <c r="M53" s="468">
        <f t="shared" si="10"/>
        <v>10038.580332599999</v>
      </c>
      <c r="N53" s="468">
        <f t="shared" si="10"/>
        <v>25128.410417700008</v>
      </c>
      <c r="O53" s="462"/>
      <c r="P53" s="462"/>
    </row>
    <row r="54" spans="1:16" x14ac:dyDescent="0.2">
      <c r="A54" s="462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</row>
  </sheetData>
  <mergeCells count="19">
    <mergeCell ref="P1:Q1"/>
    <mergeCell ref="A2:Q2"/>
    <mergeCell ref="A3:Q3"/>
    <mergeCell ref="A47:Q47"/>
    <mergeCell ref="N10:Q10"/>
    <mergeCell ref="A6:Q6"/>
    <mergeCell ref="A11:A12"/>
    <mergeCell ref="B11:B12"/>
    <mergeCell ref="I11:K11"/>
    <mergeCell ref="A9:B9"/>
    <mergeCell ref="O48:R48"/>
    <mergeCell ref="O11:Q11"/>
    <mergeCell ref="L11:N11"/>
    <mergeCell ref="A46:Q46"/>
    <mergeCell ref="P45:Q45"/>
    <mergeCell ref="C11:E11"/>
    <mergeCell ref="F11:H11"/>
    <mergeCell ref="A43:Q43"/>
    <mergeCell ref="A38:B38"/>
  </mergeCells>
  <phoneticPr fontId="0" type="noConversion"/>
  <printOptions horizontalCentered="1"/>
  <pageMargins left="0.49" right="0.34" top="0.23622047244094491" bottom="0" header="0.17" footer="0.31496062992125984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U44"/>
  <sheetViews>
    <sheetView topLeftCell="A19" zoomScaleNormal="100" zoomScaleSheetLayoutView="90" workbookViewId="0">
      <selection activeCell="C29" sqref="C29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6" width="10.140625" style="15" customWidth="1"/>
    <col min="7" max="7" width="9.85546875" style="15" customWidth="1"/>
    <col min="8" max="14" width="10.140625" style="15" customWidth="1"/>
    <col min="15" max="15" width="10.42578125" style="15" customWidth="1"/>
    <col min="16" max="16" width="11.85546875" style="15" customWidth="1"/>
    <col min="17" max="17" width="10.85546875" style="15" customWidth="1"/>
    <col min="18" max="16384" width="9.140625" style="15"/>
  </cols>
  <sheetData>
    <row r="1" spans="1:21" customFormat="1" ht="15" x14ac:dyDescent="0.2">
      <c r="H1" s="33"/>
      <c r="I1" s="33"/>
      <c r="J1" s="33"/>
      <c r="K1" s="33"/>
      <c r="L1" s="33"/>
      <c r="M1" s="33"/>
      <c r="N1" s="33"/>
      <c r="O1" s="33"/>
      <c r="P1" s="928" t="s">
        <v>93</v>
      </c>
      <c r="Q1" s="928"/>
      <c r="R1" s="922"/>
      <c r="S1" s="15"/>
      <c r="T1" s="40"/>
      <c r="U1" s="40"/>
    </row>
    <row r="2" spans="1:21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22"/>
      <c r="S2" s="42"/>
      <c r="T2" s="42"/>
      <c r="U2" s="42"/>
    </row>
    <row r="3" spans="1:21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922"/>
      <c r="S3" s="41"/>
      <c r="T3" s="41"/>
      <c r="U3" s="41"/>
    </row>
    <row r="4" spans="1:21" customFormat="1" ht="10.5" customHeight="1" x14ac:dyDescent="0.2">
      <c r="R4" s="922"/>
    </row>
    <row r="5" spans="1:21" ht="9" customHeight="1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922"/>
    </row>
    <row r="6" spans="1:21" ht="18.600000000000001" customHeight="1" x14ac:dyDescent="0.25">
      <c r="B6" s="100"/>
      <c r="C6" s="100"/>
      <c r="D6" s="852" t="s">
        <v>810</v>
      </c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R6" s="922"/>
    </row>
    <row r="7" spans="1:21" ht="5.45" customHeight="1" x14ac:dyDescent="0.2">
      <c r="R7" s="922"/>
    </row>
    <row r="8" spans="1:21" x14ac:dyDescent="0.2">
      <c r="A8" s="820" t="s">
        <v>920</v>
      </c>
      <c r="B8" s="820"/>
      <c r="Q8" s="30" t="s">
        <v>24</v>
      </c>
      <c r="R8" s="922"/>
    </row>
    <row r="9" spans="1:21" ht="15.75" x14ac:dyDescent="0.25">
      <c r="A9" s="13"/>
      <c r="N9" s="921" t="s">
        <v>830</v>
      </c>
      <c r="O9" s="921"/>
      <c r="P9" s="921"/>
      <c r="Q9" s="921"/>
      <c r="R9" s="922"/>
      <c r="S9" s="20"/>
    </row>
    <row r="10" spans="1:21" ht="37.15" customHeight="1" x14ac:dyDescent="0.2">
      <c r="A10" s="818" t="s">
        <v>2</v>
      </c>
      <c r="B10" s="818" t="s">
        <v>3</v>
      </c>
      <c r="C10" s="834" t="s">
        <v>853</v>
      </c>
      <c r="D10" s="834"/>
      <c r="E10" s="834"/>
      <c r="F10" s="834" t="s">
        <v>822</v>
      </c>
      <c r="G10" s="834"/>
      <c r="H10" s="834"/>
      <c r="I10" s="966" t="s">
        <v>367</v>
      </c>
      <c r="J10" s="967"/>
      <c r="K10" s="968"/>
      <c r="L10" s="834" t="s">
        <v>94</v>
      </c>
      <c r="M10" s="834"/>
      <c r="N10" s="834"/>
      <c r="O10" s="964" t="s">
        <v>852</v>
      </c>
      <c r="P10" s="964"/>
      <c r="Q10" s="964"/>
      <c r="R10" s="922"/>
    </row>
    <row r="11" spans="1:21" ht="39.75" customHeight="1" x14ac:dyDescent="0.2">
      <c r="A11" s="819"/>
      <c r="B11" s="819"/>
      <c r="C11" s="5" t="s">
        <v>113</v>
      </c>
      <c r="D11" s="5" t="s">
        <v>659</v>
      </c>
      <c r="E11" s="5" t="s">
        <v>18</v>
      </c>
      <c r="F11" s="5" t="s">
        <v>113</v>
      </c>
      <c r="G11" s="5" t="s">
        <v>660</v>
      </c>
      <c r="H11" s="5" t="s">
        <v>18</v>
      </c>
      <c r="I11" s="5" t="s">
        <v>113</v>
      </c>
      <c r="J11" s="5" t="s">
        <v>660</v>
      </c>
      <c r="K11" s="5" t="s">
        <v>18</v>
      </c>
      <c r="L11" s="5" t="s">
        <v>113</v>
      </c>
      <c r="M11" s="5" t="s">
        <v>660</v>
      </c>
      <c r="N11" s="5" t="s">
        <v>18</v>
      </c>
      <c r="O11" s="5" t="s">
        <v>226</v>
      </c>
      <c r="P11" s="5" t="s">
        <v>661</v>
      </c>
      <c r="Q11" s="5" t="s">
        <v>114</v>
      </c>
    </row>
    <row r="12" spans="1:21" s="66" customFormat="1" x14ac:dyDescent="0.2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  <c r="O12" s="63">
        <v>15</v>
      </c>
      <c r="P12" s="63">
        <v>16</v>
      </c>
      <c r="Q12" s="63">
        <v>17</v>
      </c>
    </row>
    <row r="13" spans="1:21" x14ac:dyDescent="0.2">
      <c r="A13" s="17">
        <v>1</v>
      </c>
      <c r="B13" s="176" t="s">
        <v>896</v>
      </c>
      <c r="C13" s="321">
        <f>'T5A_PLAN_vs_PRFM '!D12*4.03*254/100000+'T5B_PLAN_vs_PRFM  (2)'!D12*312*4.03/100000</f>
        <v>653.73402640000006</v>
      </c>
      <c r="D13" s="321">
        <f>'T5A_PLAN_vs_PRFM '!D12*2.68*254/100000+'T5B_PLAN_vs_PRFM  (2)'!D12*312*2.68/100000</f>
        <v>434.7412384000001</v>
      </c>
      <c r="E13" s="321">
        <f>SUM(C13:D13)</f>
        <v>1088.4752648000001</v>
      </c>
      <c r="F13" s="323">
        <v>76.656463555199934</v>
      </c>
      <c r="G13" s="323">
        <v>270.54692341817696</v>
      </c>
      <c r="H13" s="321">
        <f>SUM(F13:G13)</f>
        <v>347.20338697337689</v>
      </c>
      <c r="I13" s="323">
        <v>577.07756284480013</v>
      </c>
      <c r="J13" s="321">
        <v>351.70141400000006</v>
      </c>
      <c r="K13" s="321">
        <f>SUM(I13:J13)</f>
        <v>928.77897684480013</v>
      </c>
      <c r="L13" s="321">
        <f>'T5A_PLAN_vs_PRFM '!H12*4.03/100000</f>
        <v>380.10129820000003</v>
      </c>
      <c r="M13" s="321">
        <f>'T5A_PLAN_vs_PRFM '!H12*2.68/100000</f>
        <v>252.77207920000001</v>
      </c>
      <c r="N13" s="321">
        <f>SUM(L13:M13)</f>
        <v>632.87337739999998</v>
      </c>
      <c r="O13" s="321">
        <f>F13+I13-L13</f>
        <v>273.63272820000003</v>
      </c>
      <c r="P13" s="321">
        <f>G13+J13-M13</f>
        <v>369.47625821817701</v>
      </c>
      <c r="Q13" s="321">
        <f>H13+K13-N13</f>
        <v>643.10898641817698</v>
      </c>
    </row>
    <row r="14" spans="1:21" x14ac:dyDescent="0.2">
      <c r="A14" s="17">
        <v>2</v>
      </c>
      <c r="B14" s="176" t="s">
        <v>897</v>
      </c>
      <c r="C14" s="321">
        <f>'T5A_PLAN_vs_PRFM '!D13*4.03*254/100000+'T5B_PLAN_vs_PRFM  (2)'!D13*312*4.03/100000</f>
        <v>179.69649100000001</v>
      </c>
      <c r="D14" s="321">
        <f>'T5A_PLAN_vs_PRFM '!D13*2.68*254/100000+'T5B_PLAN_vs_PRFM  (2)'!D13*312*2.68/100000</f>
        <v>119.50039599999999</v>
      </c>
      <c r="E14" s="321">
        <f t="shared" ref="E14:E36" si="0">SUM(C14:D14)</f>
        <v>299.196887</v>
      </c>
      <c r="F14" s="323">
        <v>1.8991910696000218</v>
      </c>
      <c r="G14" s="323">
        <v>47.231013449660878</v>
      </c>
      <c r="H14" s="321">
        <f t="shared" ref="H14:H36" si="1">SUM(F14:G14)</f>
        <v>49.1302045192609</v>
      </c>
      <c r="I14" s="323">
        <v>177.79729993039999</v>
      </c>
      <c r="J14" s="321">
        <v>96.91764400000001</v>
      </c>
      <c r="K14" s="321">
        <f t="shared" ref="K14:K36" si="2">SUM(I14:J14)</f>
        <v>274.71494393040001</v>
      </c>
      <c r="L14" s="321">
        <f>'T5A_PLAN_vs_PRFM '!H13*4.03/100000</f>
        <v>117.94580850000001</v>
      </c>
      <c r="M14" s="321">
        <f>'T5A_PLAN_vs_PRFM '!H13*2.68/100000</f>
        <v>78.435426000000007</v>
      </c>
      <c r="N14" s="321">
        <f t="shared" ref="N14:N36" si="3">SUM(L14:M14)</f>
        <v>196.38123450000001</v>
      </c>
      <c r="O14" s="321">
        <f t="shared" ref="O14:O36" si="4">F14+I14-L14</f>
        <v>61.750682499999996</v>
      </c>
      <c r="P14" s="321">
        <f t="shared" ref="P14:P37" si="5">G14+J14-M14</f>
        <v>65.713231449660896</v>
      </c>
      <c r="Q14" s="321">
        <f t="shared" ref="Q14:Q36" si="6">H14+K14-N14</f>
        <v>127.46391394966088</v>
      </c>
    </row>
    <row r="15" spans="1:21" x14ac:dyDescent="0.2">
      <c r="A15" s="17">
        <v>3</v>
      </c>
      <c r="B15" s="176" t="s">
        <v>898</v>
      </c>
      <c r="C15" s="321">
        <f>'T5A_PLAN_vs_PRFM '!D14*4.03*254/100000+'T5B_PLAN_vs_PRFM  (2)'!D14*312*4.03/100000</f>
        <v>164.73116659999999</v>
      </c>
      <c r="D15" s="321">
        <f>'T5A_PLAN_vs_PRFM '!D14*2.68*254/100000+'T5B_PLAN_vs_PRFM  (2)'!D14*312*2.68/100000</f>
        <v>109.54826960000001</v>
      </c>
      <c r="E15" s="321">
        <f t="shared" si="0"/>
        <v>274.27943620000002</v>
      </c>
      <c r="F15" s="323">
        <v>-9.7093903071999819</v>
      </c>
      <c r="G15" s="323">
        <v>80.022915983037848</v>
      </c>
      <c r="H15" s="321">
        <f t="shared" si="1"/>
        <v>70.313525675837866</v>
      </c>
      <c r="I15" s="323">
        <v>174.44055690719998</v>
      </c>
      <c r="J15" s="321">
        <v>88.846234400000014</v>
      </c>
      <c r="K15" s="321">
        <f t="shared" si="2"/>
        <v>263.28679130720002</v>
      </c>
      <c r="L15" s="321">
        <f>'T5A_PLAN_vs_PRFM '!H14*4.03/100000</f>
        <v>98.509803600000012</v>
      </c>
      <c r="M15" s="321">
        <f>'T5A_PLAN_vs_PRFM '!H14*2.68/100000</f>
        <v>65.510241600000001</v>
      </c>
      <c r="N15" s="321">
        <f t="shared" si="3"/>
        <v>164.02004520000003</v>
      </c>
      <c r="O15" s="321">
        <f t="shared" si="4"/>
        <v>66.221362999999982</v>
      </c>
      <c r="P15" s="321">
        <f t="shared" si="5"/>
        <v>103.35890878303786</v>
      </c>
      <c r="Q15" s="321">
        <f t="shared" si="6"/>
        <v>169.58027178303786</v>
      </c>
    </row>
    <row r="16" spans="1:21" x14ac:dyDescent="0.2">
      <c r="A16" s="17">
        <v>4</v>
      </c>
      <c r="B16" s="176" t="s">
        <v>899</v>
      </c>
      <c r="C16" s="321">
        <f>'T5A_PLAN_vs_PRFM '!D15*4.03*254/100000+'T5B_PLAN_vs_PRFM  (2)'!D15*312*4.03/100000</f>
        <v>422.1204156</v>
      </c>
      <c r="D16" s="321">
        <f>'T5A_PLAN_vs_PRFM '!D15*2.68*254/100000+'T5B_PLAN_vs_PRFM  (2)'!D15*312*2.68/100000</f>
        <v>280.71531360000006</v>
      </c>
      <c r="E16" s="321">
        <f t="shared" si="0"/>
        <v>702.83572920000006</v>
      </c>
      <c r="F16" s="323">
        <v>10.342081876000009</v>
      </c>
      <c r="G16" s="323">
        <v>53.719868562743329</v>
      </c>
      <c r="H16" s="321">
        <f t="shared" si="1"/>
        <v>64.061950438743338</v>
      </c>
      <c r="I16" s="323">
        <v>411.77833372399999</v>
      </c>
      <c r="J16" s="321">
        <v>227.66675040000004</v>
      </c>
      <c r="K16" s="321">
        <f t="shared" si="2"/>
        <v>639.445084124</v>
      </c>
      <c r="L16" s="321">
        <f>'T5A_PLAN_vs_PRFM '!H15*4.03/100000</f>
        <v>261.328171</v>
      </c>
      <c r="M16" s="321">
        <f>'T5A_PLAN_vs_PRFM '!H15*2.68/100000</f>
        <v>173.78647600000002</v>
      </c>
      <c r="N16" s="321">
        <f t="shared" si="3"/>
        <v>435.11464699999999</v>
      </c>
      <c r="O16" s="321">
        <f t="shared" si="4"/>
        <v>160.7922446</v>
      </c>
      <c r="P16" s="321">
        <f t="shared" si="5"/>
        <v>107.60014296274332</v>
      </c>
      <c r="Q16" s="321">
        <f t="shared" si="6"/>
        <v>268.39238756274335</v>
      </c>
    </row>
    <row r="17" spans="1:17" x14ac:dyDescent="0.2">
      <c r="A17" s="17">
        <v>5</v>
      </c>
      <c r="B17" s="176" t="s">
        <v>900</v>
      </c>
      <c r="C17" s="321">
        <f>'T5A_PLAN_vs_PRFM '!D16*4.03*254/100000+'T5B_PLAN_vs_PRFM  (2)'!D16*312*4.03/100000</f>
        <v>237.15228160000004</v>
      </c>
      <c r="D17" s="321">
        <f>'T5A_PLAN_vs_PRFM '!D16*2.68*254/100000+'T5B_PLAN_vs_PRFM  (2)'!D16*312*2.68/100000</f>
        <v>157.70920960000001</v>
      </c>
      <c r="E17" s="321">
        <f t="shared" si="0"/>
        <v>394.86149120000005</v>
      </c>
      <c r="F17" s="323">
        <v>-1.5639973600030999E-2</v>
      </c>
      <c r="G17" s="323">
        <v>-62.573285983614426</v>
      </c>
      <c r="H17" s="321">
        <f t="shared" si="1"/>
        <v>-62.588925957214457</v>
      </c>
      <c r="I17" s="323">
        <v>237.16792157360004</v>
      </c>
      <c r="J17" s="321">
        <v>127.90589440000001</v>
      </c>
      <c r="K17" s="321">
        <f t="shared" si="2"/>
        <v>365.07381597360006</v>
      </c>
      <c r="L17" s="321">
        <f>'T5A_PLAN_vs_PRFM '!H16*4.03/100000</f>
        <v>143.46106840000002</v>
      </c>
      <c r="M17" s="321">
        <f>'T5A_PLAN_vs_PRFM '!H16*2.68/100000</f>
        <v>95.403390400000006</v>
      </c>
      <c r="N17" s="321">
        <f t="shared" si="3"/>
        <v>238.86445880000002</v>
      </c>
      <c r="O17" s="321">
        <f t="shared" si="4"/>
        <v>93.691213199999993</v>
      </c>
      <c r="P17" s="321">
        <f t="shared" si="5"/>
        <v>-30.070781983614424</v>
      </c>
      <c r="Q17" s="321">
        <f t="shared" si="6"/>
        <v>63.620431216385612</v>
      </c>
    </row>
    <row r="18" spans="1:17" x14ac:dyDescent="0.2">
      <c r="A18" s="17">
        <v>6</v>
      </c>
      <c r="B18" s="176" t="s">
        <v>901</v>
      </c>
      <c r="C18" s="321">
        <f>'T5A_PLAN_vs_PRFM '!D17*4.03*254/100000+'T5B_PLAN_vs_PRFM  (2)'!D17*312*4.03/100000</f>
        <v>514.32810519999998</v>
      </c>
      <c r="D18" s="321">
        <f>'T5A_PLAN_vs_PRFM '!D17*2.68*254/100000+'T5B_PLAN_vs_PRFM  (2)'!D17*312*2.68/100000</f>
        <v>342.03457119999996</v>
      </c>
      <c r="E18" s="321">
        <f t="shared" si="0"/>
        <v>856.36267639999994</v>
      </c>
      <c r="F18" s="323">
        <v>190.32989779599995</v>
      </c>
      <c r="G18" s="323">
        <v>182.6955369545405</v>
      </c>
      <c r="H18" s="321">
        <f t="shared" si="1"/>
        <v>373.02543475054046</v>
      </c>
      <c r="I18" s="323">
        <v>323.99820740400003</v>
      </c>
      <c r="J18" s="321">
        <v>277.39811680000003</v>
      </c>
      <c r="K18" s="321">
        <f t="shared" si="2"/>
        <v>601.39632420400005</v>
      </c>
      <c r="L18" s="321">
        <f>'T5A_PLAN_vs_PRFM '!H17*4.03/100000</f>
        <v>303.72909060000001</v>
      </c>
      <c r="M18" s="321">
        <f>'T5A_PLAN_vs_PRFM '!H17*2.68/100000</f>
        <v>201.98361359999998</v>
      </c>
      <c r="N18" s="321">
        <f t="shared" si="3"/>
        <v>505.71270419999996</v>
      </c>
      <c r="O18" s="321">
        <f t="shared" si="4"/>
        <v>210.59901459999998</v>
      </c>
      <c r="P18" s="321">
        <f t="shared" si="5"/>
        <v>258.11004015454057</v>
      </c>
      <c r="Q18" s="321">
        <f t="shared" si="6"/>
        <v>468.7090547545406</v>
      </c>
    </row>
    <row r="19" spans="1:17" x14ac:dyDescent="0.2">
      <c r="A19" s="17">
        <v>7</v>
      </c>
      <c r="B19" s="176" t="s">
        <v>902</v>
      </c>
      <c r="C19" s="321">
        <f>'T5A_PLAN_vs_PRFM '!D18*4.03*254/100000+'T5B_PLAN_vs_PRFM  (2)'!D18*312*4.03/100000</f>
        <v>327.72217920000003</v>
      </c>
      <c r="D19" s="321">
        <f>'T5A_PLAN_vs_PRFM '!D18*2.68*254/100000+'T5B_PLAN_vs_PRFM  (2)'!D18*312*2.68/100000</f>
        <v>217.93931519999998</v>
      </c>
      <c r="E19" s="321">
        <f t="shared" si="0"/>
        <v>545.66149440000004</v>
      </c>
      <c r="F19" s="323">
        <v>93.371617186800052</v>
      </c>
      <c r="G19" s="323">
        <v>4.637127090778506</v>
      </c>
      <c r="H19" s="321">
        <f t="shared" si="1"/>
        <v>98.008744277578558</v>
      </c>
      <c r="I19" s="323">
        <v>234.35056201319998</v>
      </c>
      <c r="J19" s="321">
        <v>176.7539328</v>
      </c>
      <c r="K19" s="321">
        <f t="shared" si="2"/>
        <v>411.10449481319995</v>
      </c>
      <c r="L19" s="321">
        <f>'T5A_PLAN_vs_PRFM '!H18*4.03/100000</f>
        <v>191.70851050000002</v>
      </c>
      <c r="M19" s="321">
        <f>'T5A_PLAN_vs_PRFM '!H18*2.68/100000</f>
        <v>127.48853800000001</v>
      </c>
      <c r="N19" s="321">
        <f t="shared" si="3"/>
        <v>319.19704850000005</v>
      </c>
      <c r="O19" s="321">
        <f t="shared" si="4"/>
        <v>136.01366870000001</v>
      </c>
      <c r="P19" s="321">
        <f t="shared" si="5"/>
        <v>53.902521890778502</v>
      </c>
      <c r="Q19" s="321">
        <f t="shared" si="6"/>
        <v>189.91619059077846</v>
      </c>
    </row>
    <row r="20" spans="1:17" x14ac:dyDescent="0.2">
      <c r="A20" s="17">
        <v>8</v>
      </c>
      <c r="B20" s="176" t="s">
        <v>903</v>
      </c>
      <c r="C20" s="321">
        <f>'T5A_PLAN_vs_PRFM '!D19*4.03*254/100000+'T5B_PLAN_vs_PRFM  (2)'!D19*312*4.03/100000</f>
        <v>574.00345860000004</v>
      </c>
      <c r="D20" s="321">
        <f>'T5A_PLAN_vs_PRFM '!D19*2.68*254/100000+'T5B_PLAN_vs_PRFM  (2)'!D19*312*2.68/100000</f>
        <v>381.71942160000003</v>
      </c>
      <c r="E20" s="321">
        <f t="shared" si="0"/>
        <v>955.72288020000008</v>
      </c>
      <c r="F20" s="323">
        <v>78.536408866400166</v>
      </c>
      <c r="G20" s="323">
        <v>139.56702939208895</v>
      </c>
      <c r="H20" s="321">
        <f t="shared" si="1"/>
        <v>218.10343825848912</v>
      </c>
      <c r="I20" s="323">
        <v>495.46704973359988</v>
      </c>
      <c r="J20" s="321">
        <v>308.87396640000003</v>
      </c>
      <c r="K20" s="321">
        <f t="shared" si="2"/>
        <v>804.34101613359985</v>
      </c>
      <c r="L20" s="321">
        <f>'T5A_PLAN_vs_PRFM '!H19*4.03/100000</f>
        <v>373.58361950000005</v>
      </c>
      <c r="M20" s="321">
        <f>'T5A_PLAN_vs_PRFM '!H19*2.68/100000</f>
        <v>248.43774200000004</v>
      </c>
      <c r="N20" s="321">
        <f t="shared" si="3"/>
        <v>622.02136150000013</v>
      </c>
      <c r="O20" s="321">
        <f t="shared" si="4"/>
        <v>200.41983909999999</v>
      </c>
      <c r="P20" s="321">
        <f t="shared" si="5"/>
        <v>200.00325379208894</v>
      </c>
      <c r="Q20" s="321">
        <f t="shared" si="6"/>
        <v>400.4230928920889</v>
      </c>
    </row>
    <row r="21" spans="1:17" x14ac:dyDescent="0.2">
      <c r="A21" s="17">
        <v>9</v>
      </c>
      <c r="B21" s="176" t="s">
        <v>904</v>
      </c>
      <c r="C21" s="321">
        <f>'T5A_PLAN_vs_PRFM '!D20*4.03*254/100000+'T5B_PLAN_vs_PRFM  (2)'!D20*312*4.03/100000</f>
        <v>872.4210898</v>
      </c>
      <c r="D21" s="321">
        <f>'T5A_PLAN_vs_PRFM '!D20*2.68*254/100000+'T5B_PLAN_vs_PRFM  (2)'!D20*312*2.68/100000</f>
        <v>580.17084880000004</v>
      </c>
      <c r="E21" s="321">
        <f t="shared" si="0"/>
        <v>1452.5919386</v>
      </c>
      <c r="F21" s="323">
        <v>162.61049114359992</v>
      </c>
      <c r="G21" s="323">
        <v>61.941504866109767</v>
      </c>
      <c r="H21" s="321">
        <f t="shared" si="1"/>
        <v>224.55199600970968</v>
      </c>
      <c r="I21" s="323">
        <v>709.81059865640009</v>
      </c>
      <c r="J21" s="321">
        <v>470.53226319999999</v>
      </c>
      <c r="K21" s="321">
        <f t="shared" si="2"/>
        <v>1180.3428618564001</v>
      </c>
      <c r="L21" s="321">
        <f>'T5A_PLAN_vs_PRFM '!H20*4.03/100000</f>
        <v>573.8464901000001</v>
      </c>
      <c r="M21" s="321">
        <f>'T5A_PLAN_vs_PRFM '!H20*2.68/100000</f>
        <v>381.6150356</v>
      </c>
      <c r="N21" s="321">
        <f t="shared" si="3"/>
        <v>955.46152570000004</v>
      </c>
      <c r="O21" s="321">
        <f t="shared" si="4"/>
        <v>298.57459969999991</v>
      </c>
      <c r="P21" s="321">
        <f t="shared" si="5"/>
        <v>150.85873246610976</v>
      </c>
      <c r="Q21" s="321">
        <f t="shared" si="6"/>
        <v>449.43333216610972</v>
      </c>
    </row>
    <row r="22" spans="1:17" x14ac:dyDescent="0.2">
      <c r="A22" s="17">
        <v>10</v>
      </c>
      <c r="B22" s="176" t="s">
        <v>905</v>
      </c>
      <c r="C22" s="321">
        <f>'T5A_PLAN_vs_PRFM '!D21*4.03*254/100000+'T5B_PLAN_vs_PRFM  (2)'!D21*312*4.03/100000</f>
        <v>277.70810599999999</v>
      </c>
      <c r="D22" s="321">
        <f>'T5A_PLAN_vs_PRFM '!D21*2.68*254/100000+'T5B_PLAN_vs_PRFM  (2)'!D21*312*2.68/100000</f>
        <v>184.67933600000001</v>
      </c>
      <c r="E22" s="321">
        <f t="shared" si="0"/>
        <v>462.38744199999996</v>
      </c>
      <c r="F22" s="323">
        <v>37.182521660800063</v>
      </c>
      <c r="G22" s="323">
        <v>41.852811110034509</v>
      </c>
      <c r="H22" s="321">
        <f t="shared" si="1"/>
        <v>79.035332770834572</v>
      </c>
      <c r="I22" s="323">
        <v>240.52558433919992</v>
      </c>
      <c r="J22" s="321">
        <v>149.77930400000002</v>
      </c>
      <c r="K22" s="321">
        <f t="shared" si="2"/>
        <v>390.30488833919992</v>
      </c>
      <c r="L22" s="321">
        <f>'T5A_PLAN_vs_PRFM '!H21*4.03/100000</f>
        <v>162.33496890000001</v>
      </c>
      <c r="M22" s="321">
        <f>'T5A_PLAN_vs_PRFM '!H21*2.68/100000</f>
        <v>107.95476839999999</v>
      </c>
      <c r="N22" s="321">
        <f t="shared" si="3"/>
        <v>270.28973730000001</v>
      </c>
      <c r="O22" s="321">
        <f t="shared" si="4"/>
        <v>115.37313709999998</v>
      </c>
      <c r="P22" s="321">
        <f t="shared" si="5"/>
        <v>83.677346710034541</v>
      </c>
      <c r="Q22" s="321">
        <f t="shared" si="6"/>
        <v>199.05048381003445</v>
      </c>
    </row>
    <row r="23" spans="1:17" x14ac:dyDescent="0.2">
      <c r="A23" s="17">
        <v>11</v>
      </c>
      <c r="B23" s="176" t="s">
        <v>906</v>
      </c>
      <c r="C23" s="321">
        <f>'T5A_PLAN_vs_PRFM '!D22*4.03*254/100000+'T5B_PLAN_vs_PRFM  (2)'!D22*312*4.03/100000</f>
        <v>475.92808900000006</v>
      </c>
      <c r="D23" s="321">
        <f>'T5A_PLAN_vs_PRFM '!D22*2.68*254/100000+'T5B_PLAN_vs_PRFM  (2)'!D22*312*2.68/100000</f>
        <v>316.49808400000001</v>
      </c>
      <c r="E23" s="321">
        <f t="shared" si="0"/>
        <v>792.42617300000006</v>
      </c>
      <c r="F23" s="323">
        <v>-26.066501391999964</v>
      </c>
      <c r="G23" s="323">
        <v>281.53955352446508</v>
      </c>
      <c r="H23" s="321">
        <f t="shared" si="1"/>
        <v>255.47305213246511</v>
      </c>
      <c r="I23" s="323">
        <v>501.99459039200002</v>
      </c>
      <c r="J23" s="321">
        <v>255.23006800000002</v>
      </c>
      <c r="K23" s="321">
        <f t="shared" si="2"/>
        <v>757.22465839200004</v>
      </c>
      <c r="L23" s="321">
        <f>'T5A_PLAN_vs_PRFM '!H22*4.03/100000</f>
        <v>310.6003212</v>
      </c>
      <c r="M23" s="321">
        <f>'T5A_PLAN_vs_PRFM '!H22*2.68/100000</f>
        <v>206.55306720000002</v>
      </c>
      <c r="N23" s="321">
        <f t="shared" si="3"/>
        <v>517.15338840000004</v>
      </c>
      <c r="O23" s="321">
        <f t="shared" si="4"/>
        <v>165.32776780000006</v>
      </c>
      <c r="P23" s="321">
        <f t="shared" si="5"/>
        <v>330.21655432446505</v>
      </c>
      <c r="Q23" s="321">
        <f t="shared" si="6"/>
        <v>495.54432212446511</v>
      </c>
    </row>
    <row r="24" spans="1:17" x14ac:dyDescent="0.2">
      <c r="A24" s="17">
        <v>12</v>
      </c>
      <c r="B24" s="269" t="s">
        <v>907</v>
      </c>
      <c r="C24" s="321">
        <f>'T5A_PLAN_vs_PRFM '!D23*4.03*254/100000+'T5B_PLAN_vs_PRFM  (2)'!D23*312*4.03/100000</f>
        <v>525.18629540000006</v>
      </c>
      <c r="D24" s="321">
        <f>'T5A_PLAN_vs_PRFM '!D23*2.68*254/100000+'T5B_PLAN_vs_PRFM  (2)'!D23*312*2.68/100000</f>
        <v>349.25540240000004</v>
      </c>
      <c r="E24" s="321">
        <f t="shared" si="0"/>
        <v>874.44169780000016</v>
      </c>
      <c r="F24" s="323">
        <v>53.684361700800082</v>
      </c>
      <c r="G24" s="323">
        <v>263.99186971224492</v>
      </c>
      <c r="H24" s="321">
        <f t="shared" si="1"/>
        <v>317.676231413045</v>
      </c>
      <c r="I24" s="323">
        <v>471.50193369919998</v>
      </c>
      <c r="J24" s="321">
        <v>282.45490159999997</v>
      </c>
      <c r="K24" s="321">
        <f t="shared" si="2"/>
        <v>753.95683529919995</v>
      </c>
      <c r="L24" s="321">
        <f>'T5A_PLAN_vs_PRFM '!H23*4.03/100000</f>
        <v>293.96822909999997</v>
      </c>
      <c r="M24" s="321">
        <f>'T5A_PLAN_vs_PRFM '!H23*2.68/100000</f>
        <v>195.49251960000001</v>
      </c>
      <c r="N24" s="321">
        <f t="shared" si="3"/>
        <v>489.46074869999995</v>
      </c>
      <c r="O24" s="321">
        <f t="shared" si="4"/>
        <v>231.21806630000009</v>
      </c>
      <c r="P24" s="321">
        <f t="shared" si="5"/>
        <v>350.95425171224485</v>
      </c>
      <c r="Q24" s="321">
        <f t="shared" si="6"/>
        <v>582.172318012245</v>
      </c>
    </row>
    <row r="25" spans="1:17" x14ac:dyDescent="0.2">
      <c r="A25" s="17">
        <v>13</v>
      </c>
      <c r="B25" s="176" t="s">
        <v>908</v>
      </c>
      <c r="C25" s="321">
        <f>'T5A_PLAN_vs_PRFM '!D24*4.03*254/100000+'T5B_PLAN_vs_PRFM  (2)'!D24*312*4.03/100000</f>
        <v>250.46957780000002</v>
      </c>
      <c r="D25" s="321">
        <f>'T5A_PLAN_vs_PRFM '!D24*2.68*254/100000+'T5B_PLAN_vs_PRFM  (2)'!D24*312*2.68/100000</f>
        <v>166.5653768</v>
      </c>
      <c r="E25" s="321">
        <f t="shared" si="0"/>
        <v>417.03495459999999</v>
      </c>
      <c r="F25" s="323">
        <v>-1.1993096647999835</v>
      </c>
      <c r="G25" s="323">
        <v>218.45067490034853</v>
      </c>
      <c r="H25" s="321">
        <f t="shared" si="1"/>
        <v>217.25136523554855</v>
      </c>
      <c r="I25" s="323">
        <v>251.66888746480001</v>
      </c>
      <c r="J25" s="321">
        <v>135.0884552</v>
      </c>
      <c r="K25" s="321">
        <f t="shared" si="2"/>
        <v>386.75734266480003</v>
      </c>
      <c r="L25" s="321">
        <f>'T5A_PLAN_vs_PRFM '!H24*4.03/100000</f>
        <v>140.00240149999999</v>
      </c>
      <c r="M25" s="321">
        <f>'T5A_PLAN_vs_PRFM '!H24*2.68/100000</f>
        <v>93.103334000000004</v>
      </c>
      <c r="N25" s="321">
        <f t="shared" si="3"/>
        <v>233.10573549999998</v>
      </c>
      <c r="O25" s="321">
        <f t="shared" si="4"/>
        <v>110.46717630000003</v>
      </c>
      <c r="P25" s="321">
        <f t="shared" si="5"/>
        <v>260.43579610034851</v>
      </c>
      <c r="Q25" s="321">
        <f t="shared" si="6"/>
        <v>370.90297240034857</v>
      </c>
    </row>
    <row r="26" spans="1:17" x14ac:dyDescent="0.2">
      <c r="A26" s="17">
        <v>14</v>
      </c>
      <c r="B26" s="176" t="s">
        <v>909</v>
      </c>
      <c r="C26" s="321">
        <f>'T5A_PLAN_vs_PRFM '!D25*4.03*254/100000+'T5B_PLAN_vs_PRFM  (2)'!D25*312*4.03/100000</f>
        <v>250.50028639999999</v>
      </c>
      <c r="D26" s="321">
        <f>'T5A_PLAN_vs_PRFM '!D25*2.68*254/100000+'T5B_PLAN_vs_PRFM  (2)'!D25*312*2.68/100000</f>
        <v>166.58579840000002</v>
      </c>
      <c r="E26" s="321">
        <f t="shared" si="0"/>
        <v>417.08608479999998</v>
      </c>
      <c r="F26" s="323">
        <v>0.42122170679999726</v>
      </c>
      <c r="G26" s="323">
        <v>89.090556539154989</v>
      </c>
      <c r="H26" s="321">
        <f t="shared" si="1"/>
        <v>89.511778245954986</v>
      </c>
      <c r="I26" s="323">
        <v>250.0790646932</v>
      </c>
      <c r="J26" s="321">
        <v>135.10501760000002</v>
      </c>
      <c r="K26" s="321">
        <f t="shared" si="2"/>
        <v>385.18408229320005</v>
      </c>
      <c r="L26" s="321">
        <f>'T5A_PLAN_vs_PRFM '!H25*4.03/100000</f>
        <v>145.15878649999999</v>
      </c>
      <c r="M26" s="321">
        <f>'T5A_PLAN_vs_PRFM '!H25*2.68/100000</f>
        <v>96.532394000000011</v>
      </c>
      <c r="N26" s="321">
        <f t="shared" si="3"/>
        <v>241.6911805</v>
      </c>
      <c r="O26" s="321">
        <f t="shared" si="4"/>
        <v>105.3414999</v>
      </c>
      <c r="P26" s="321">
        <f t="shared" si="5"/>
        <v>127.663180139155</v>
      </c>
      <c r="Q26" s="321">
        <f t="shared" si="6"/>
        <v>233.00468003915503</v>
      </c>
    </row>
    <row r="27" spans="1:17" x14ac:dyDescent="0.2">
      <c r="A27" s="17">
        <v>15</v>
      </c>
      <c r="B27" s="176" t="s">
        <v>910</v>
      </c>
      <c r="C27" s="321">
        <f>'T5A_PLAN_vs_PRFM '!D26*4.03*254/100000+'T5B_PLAN_vs_PRFM  (2)'!D26*312*4.03/100000</f>
        <v>558.50754440000003</v>
      </c>
      <c r="D27" s="321">
        <f>'T5A_PLAN_vs_PRFM '!D26*2.68*254/100000+'T5B_PLAN_vs_PRFM  (2)'!D26*312*2.68/100000</f>
        <v>371.41444640000003</v>
      </c>
      <c r="E27" s="321">
        <f t="shared" si="0"/>
        <v>929.9219908</v>
      </c>
      <c r="F27" s="323">
        <v>15.217371250000042</v>
      </c>
      <c r="G27" s="323">
        <v>22.141806244927523</v>
      </c>
      <c r="H27" s="321">
        <f t="shared" si="1"/>
        <v>37.359177494927565</v>
      </c>
      <c r="I27" s="323">
        <v>543.29017314999999</v>
      </c>
      <c r="J27" s="321">
        <v>301.22588960000002</v>
      </c>
      <c r="K27" s="321">
        <f t="shared" si="2"/>
        <v>844.51606274999995</v>
      </c>
      <c r="L27" s="321">
        <f>'T5A_PLAN_vs_PRFM '!H26*4.03/100000</f>
        <v>320.24108870000003</v>
      </c>
      <c r="M27" s="321">
        <f>'T5A_PLAN_vs_PRFM '!H26*2.68/100000</f>
        <v>212.96429720000003</v>
      </c>
      <c r="N27" s="321">
        <f t="shared" si="3"/>
        <v>533.20538590000001</v>
      </c>
      <c r="O27" s="321">
        <f t="shared" si="4"/>
        <v>238.26645569999999</v>
      </c>
      <c r="P27" s="321">
        <f t="shared" si="5"/>
        <v>110.40339864492751</v>
      </c>
      <c r="Q27" s="321">
        <f t="shared" si="6"/>
        <v>348.66985434492744</v>
      </c>
    </row>
    <row r="28" spans="1:17" x14ac:dyDescent="0.2">
      <c r="A28" s="17">
        <v>16</v>
      </c>
      <c r="B28" s="176" t="s">
        <v>911</v>
      </c>
      <c r="C28" s="321">
        <f>'T5A_PLAN_vs_PRFM '!D27*4.03*254/100000+'T5B_PLAN_vs_PRFM  (2)'!D27*312*4.03/100000</f>
        <v>637.26486720000003</v>
      </c>
      <c r="D28" s="321">
        <f>'T5A_PLAN_vs_PRFM '!D27*2.68*254/100000+'T5B_PLAN_vs_PRFM  (2)'!D27*312*2.68/100000</f>
        <v>423.78904320000009</v>
      </c>
      <c r="E28" s="321">
        <f t="shared" si="0"/>
        <v>1061.0539104000002</v>
      </c>
      <c r="F28" s="323">
        <v>38.088096920800012</v>
      </c>
      <c r="G28" s="323">
        <v>208.35617367785949</v>
      </c>
      <c r="H28" s="321">
        <f t="shared" si="1"/>
        <v>246.4442705986595</v>
      </c>
      <c r="I28" s="323">
        <v>599.17677027920001</v>
      </c>
      <c r="J28" s="321">
        <v>343.70292480000006</v>
      </c>
      <c r="K28" s="321">
        <f t="shared" si="2"/>
        <v>942.87969507920002</v>
      </c>
      <c r="L28" s="321">
        <f>'T5A_PLAN_vs_PRFM '!H27*4.03/100000</f>
        <v>430.54025430000002</v>
      </c>
      <c r="M28" s="321">
        <f>'T5A_PLAN_vs_PRFM '!H27*2.68/100000</f>
        <v>286.31461080000003</v>
      </c>
      <c r="N28" s="321">
        <f t="shared" si="3"/>
        <v>716.8548651000001</v>
      </c>
      <c r="O28" s="321">
        <f t="shared" si="4"/>
        <v>206.72461290000001</v>
      </c>
      <c r="P28" s="321">
        <f t="shared" si="5"/>
        <v>265.74448767785958</v>
      </c>
      <c r="Q28" s="321">
        <f t="shared" si="6"/>
        <v>472.46910057785954</v>
      </c>
    </row>
    <row r="29" spans="1:17" x14ac:dyDescent="0.2">
      <c r="A29" s="17">
        <v>17</v>
      </c>
      <c r="B29" s="176" t="s">
        <v>912</v>
      </c>
      <c r="C29" s="321">
        <f>'T5A_PLAN_vs_PRFM '!D28*4.03*254/100000+'T5B_PLAN_vs_PRFM  (2)'!D28*312*4.03/100000</f>
        <v>584.23111500000005</v>
      </c>
      <c r="D29" s="321">
        <f>'T5A_PLAN_vs_PRFM '!D28*2.68*254/100000+'T5B_PLAN_vs_PRFM  (2)'!D28*312*2.68/100000</f>
        <v>388.52094</v>
      </c>
      <c r="E29" s="321">
        <f t="shared" si="0"/>
        <v>972.75205500000004</v>
      </c>
      <c r="F29" s="323">
        <v>-4.0875148760000002</v>
      </c>
      <c r="G29" s="323">
        <v>38.634267999377755</v>
      </c>
      <c r="H29" s="321">
        <f t="shared" si="1"/>
        <v>34.546753123377755</v>
      </c>
      <c r="I29" s="323">
        <v>588.31862987600005</v>
      </c>
      <c r="J29" s="321">
        <v>315.09965999999997</v>
      </c>
      <c r="K29" s="321">
        <f t="shared" si="2"/>
        <v>903.41828987600002</v>
      </c>
      <c r="L29" s="321">
        <f>'T5A_PLAN_vs_PRFM '!H28*4.03/100000</f>
        <v>355.40940760000007</v>
      </c>
      <c r="M29" s="321">
        <f>'T5A_PLAN_vs_PRFM '!H28*2.68/100000</f>
        <v>236.35166560000002</v>
      </c>
      <c r="N29" s="321">
        <f t="shared" si="3"/>
        <v>591.76107320000006</v>
      </c>
      <c r="O29" s="321">
        <f t="shared" si="4"/>
        <v>228.82170739999998</v>
      </c>
      <c r="P29" s="321">
        <f t="shared" si="5"/>
        <v>117.38226239937771</v>
      </c>
      <c r="Q29" s="321">
        <f t="shared" si="6"/>
        <v>346.20396979937777</v>
      </c>
    </row>
    <row r="30" spans="1:17" x14ac:dyDescent="0.2">
      <c r="A30" s="17">
        <v>18</v>
      </c>
      <c r="B30" s="176" t="s">
        <v>913</v>
      </c>
      <c r="C30" s="321">
        <f>'T5A_PLAN_vs_PRFM '!D29*4.03*254/100000+'T5B_PLAN_vs_PRFM  (2)'!D29*312*4.03/100000</f>
        <v>489.94547679999999</v>
      </c>
      <c r="D30" s="321">
        <f>'T5A_PLAN_vs_PRFM '!D29*2.68*254/100000+'T5B_PLAN_vs_PRFM  (2)'!D29*312*2.68/100000</f>
        <v>325.8198208</v>
      </c>
      <c r="E30" s="321">
        <f t="shared" si="0"/>
        <v>815.76529759999994</v>
      </c>
      <c r="F30" s="323">
        <v>40.697156048400018</v>
      </c>
      <c r="G30" s="323">
        <v>337.88748447519242</v>
      </c>
      <c r="H30" s="321">
        <f t="shared" si="1"/>
        <v>378.58464052359244</v>
      </c>
      <c r="I30" s="323">
        <v>449.24832075159998</v>
      </c>
      <c r="J30" s="321">
        <v>264.24757120000004</v>
      </c>
      <c r="K30" s="321">
        <f t="shared" si="2"/>
        <v>713.49589195160002</v>
      </c>
      <c r="L30" s="321">
        <f>'T5A_PLAN_vs_PRFM '!H29*4.03/100000</f>
        <v>284.34338009999999</v>
      </c>
      <c r="M30" s="321">
        <f>'T5A_PLAN_vs_PRFM '!H29*2.68/100000</f>
        <v>189.09187560000004</v>
      </c>
      <c r="N30" s="321">
        <f t="shared" si="3"/>
        <v>473.43525570000003</v>
      </c>
      <c r="O30" s="321">
        <f t="shared" si="4"/>
        <v>205.6020967</v>
      </c>
      <c r="P30" s="321">
        <f t="shared" si="5"/>
        <v>413.04318007519242</v>
      </c>
      <c r="Q30" s="321">
        <f t="shared" si="6"/>
        <v>618.64527677519254</v>
      </c>
    </row>
    <row r="31" spans="1:17" x14ac:dyDescent="0.2">
      <c r="A31" s="17">
        <v>19</v>
      </c>
      <c r="B31" s="176" t="s">
        <v>914</v>
      </c>
      <c r="C31" s="321">
        <f>'T5A_PLAN_vs_PRFM '!D30*4.03*254/100000+'T5B_PLAN_vs_PRFM  (2)'!D30*312*4.03/100000</f>
        <v>372.60324139999994</v>
      </c>
      <c r="D31" s="321">
        <f>'T5A_PLAN_vs_PRFM '!D30*2.68*254/100000+'T5B_PLAN_vs_PRFM  (2)'!D30*312*2.68/100000</f>
        <v>247.7857784</v>
      </c>
      <c r="E31" s="321">
        <f t="shared" si="0"/>
        <v>620.38901979999991</v>
      </c>
      <c r="F31" s="323">
        <v>64.574683296800004</v>
      </c>
      <c r="G31" s="323">
        <v>49.077518275436489</v>
      </c>
      <c r="H31" s="321">
        <f t="shared" si="1"/>
        <v>113.65220157223649</v>
      </c>
      <c r="I31" s="323">
        <v>308.02855810320006</v>
      </c>
      <c r="J31" s="321">
        <v>200.21374159999999</v>
      </c>
      <c r="K31" s="321">
        <f t="shared" si="2"/>
        <v>508.24229970320005</v>
      </c>
      <c r="L31" s="321">
        <f>'T5A_PLAN_vs_PRFM '!H30*4.03/100000</f>
        <v>271.35271540000002</v>
      </c>
      <c r="M31" s="321">
        <f>'T5A_PLAN_vs_PRFM '!H30*2.68/100000</f>
        <v>180.45292240000003</v>
      </c>
      <c r="N31" s="321">
        <f t="shared" si="3"/>
        <v>451.80563780000006</v>
      </c>
      <c r="O31" s="321">
        <f t="shared" si="4"/>
        <v>101.25052600000004</v>
      </c>
      <c r="P31" s="321">
        <f t="shared" si="5"/>
        <v>68.838337475436447</v>
      </c>
      <c r="Q31" s="321">
        <f t="shared" si="6"/>
        <v>170.08886347543654</v>
      </c>
    </row>
    <row r="32" spans="1:17" x14ac:dyDescent="0.2">
      <c r="A32" s="17">
        <v>20</v>
      </c>
      <c r="B32" s="176" t="s">
        <v>915</v>
      </c>
      <c r="C32" s="321">
        <f>'T5A_PLAN_vs_PRFM '!D31*4.03*254/100000+'T5B_PLAN_vs_PRFM  (2)'!D31*312*4.03/100000</f>
        <v>254.77901800000004</v>
      </c>
      <c r="D32" s="321">
        <f>'T5A_PLAN_vs_PRFM '!D31*2.68*254/100000+'T5B_PLAN_vs_PRFM  (2)'!D31*312*2.68/100000</f>
        <v>169.431208</v>
      </c>
      <c r="E32" s="321">
        <f t="shared" si="0"/>
        <v>424.21022600000003</v>
      </c>
      <c r="F32" s="323">
        <v>40.913429943200015</v>
      </c>
      <c r="G32" s="323">
        <v>4.6268969207643522</v>
      </c>
      <c r="H32" s="321">
        <f t="shared" si="1"/>
        <v>45.540326863964367</v>
      </c>
      <c r="I32" s="323">
        <v>213.86558805679999</v>
      </c>
      <c r="J32" s="321">
        <v>137.412712</v>
      </c>
      <c r="K32" s="321">
        <f t="shared" si="2"/>
        <v>351.27830005679999</v>
      </c>
      <c r="L32" s="321">
        <f>'T5A_PLAN_vs_PRFM '!H31*4.03/100000</f>
        <v>142.46017760000001</v>
      </c>
      <c r="M32" s="321">
        <f>'T5A_PLAN_vs_PRFM '!H31*2.68/100000</f>
        <v>94.737785600000009</v>
      </c>
      <c r="N32" s="321">
        <f t="shared" si="3"/>
        <v>237.1979632</v>
      </c>
      <c r="O32" s="321">
        <f t="shared" si="4"/>
        <v>112.3188404</v>
      </c>
      <c r="P32" s="321">
        <f t="shared" si="5"/>
        <v>47.301823320764342</v>
      </c>
      <c r="Q32" s="321">
        <f t="shared" si="6"/>
        <v>159.62066372076436</v>
      </c>
    </row>
    <row r="33" spans="1:18" x14ac:dyDescent="0.2">
      <c r="A33" s="17">
        <v>21</v>
      </c>
      <c r="B33" s="176" t="s">
        <v>916</v>
      </c>
      <c r="C33" s="321">
        <f>'T5A_PLAN_vs_PRFM '!D32*4.03*254/100000+'T5B_PLAN_vs_PRFM  (2)'!D32*312*4.03/100000</f>
        <v>329.52213840000002</v>
      </c>
      <c r="D33" s="321">
        <f>'T5A_PLAN_vs_PRFM '!D32*2.68*254/100000+'T5B_PLAN_vs_PRFM  (2)'!D32*312*2.68/100000</f>
        <v>219.13631040000001</v>
      </c>
      <c r="E33" s="321">
        <f t="shared" si="0"/>
        <v>548.65844880000009</v>
      </c>
      <c r="F33" s="323">
        <v>12.918311943200024</v>
      </c>
      <c r="G33" s="323">
        <v>100.82418682568601</v>
      </c>
      <c r="H33" s="321">
        <f t="shared" si="1"/>
        <v>113.74249876888604</v>
      </c>
      <c r="I33" s="323">
        <v>316.60382645679999</v>
      </c>
      <c r="J33" s="321">
        <v>177.44151360000001</v>
      </c>
      <c r="K33" s="321">
        <f t="shared" si="2"/>
        <v>494.0453400568</v>
      </c>
      <c r="L33" s="321">
        <f>'T5A_PLAN_vs_PRFM '!H32*4.03/100000</f>
        <v>227.07260679999999</v>
      </c>
      <c r="M33" s="321">
        <f>'T5A_PLAN_vs_PRFM '!H32*2.68/100000</f>
        <v>151.00610080000001</v>
      </c>
      <c r="N33" s="321">
        <f t="shared" si="3"/>
        <v>378.07870760000003</v>
      </c>
      <c r="O33" s="321">
        <f t="shared" si="4"/>
        <v>102.44953160000003</v>
      </c>
      <c r="P33" s="321">
        <f t="shared" si="5"/>
        <v>127.25959962568601</v>
      </c>
      <c r="Q33" s="321">
        <f t="shared" si="6"/>
        <v>229.70913122568606</v>
      </c>
    </row>
    <row r="34" spans="1:18" x14ac:dyDescent="0.2">
      <c r="A34" s="17">
        <v>22</v>
      </c>
      <c r="B34" s="176" t="s">
        <v>917</v>
      </c>
      <c r="C34" s="321">
        <f>'T5A_PLAN_vs_PRFM '!D33*4.03*254/100000+'T5B_PLAN_vs_PRFM  (2)'!D33*312*4.03/100000</f>
        <v>180.07394080000003</v>
      </c>
      <c r="D34" s="321">
        <f>'T5A_PLAN_vs_PRFM '!D33*2.68*254/100000+'T5B_PLAN_vs_PRFM  (2)'!D33*312*2.68/100000</f>
        <v>119.7514048</v>
      </c>
      <c r="E34" s="321">
        <f t="shared" si="0"/>
        <v>299.82534560000005</v>
      </c>
      <c r="F34" s="323">
        <v>-8.2087622999999894</v>
      </c>
      <c r="G34" s="323">
        <v>46.433234375675653</v>
      </c>
      <c r="H34" s="321">
        <f t="shared" si="1"/>
        <v>38.224472075675664</v>
      </c>
      <c r="I34" s="323">
        <v>188.28270309999999</v>
      </c>
      <c r="J34" s="321">
        <v>97.044515200000006</v>
      </c>
      <c r="K34" s="321">
        <f t="shared" si="2"/>
        <v>285.32721830000003</v>
      </c>
      <c r="L34" s="321">
        <f>'T5A_PLAN_vs_PRFM '!H33*4.03/100000</f>
        <v>124.29342120000001</v>
      </c>
      <c r="M34" s="321">
        <f>'T5A_PLAN_vs_PRFM '!H33*2.68/100000</f>
        <v>82.656667200000001</v>
      </c>
      <c r="N34" s="321">
        <f t="shared" si="3"/>
        <v>206.95008840000003</v>
      </c>
      <c r="O34" s="321">
        <f t="shared" si="4"/>
        <v>55.780519599999991</v>
      </c>
      <c r="P34" s="321">
        <f t="shared" si="5"/>
        <v>60.821082375675658</v>
      </c>
      <c r="Q34" s="321">
        <f t="shared" si="6"/>
        <v>116.60160197567564</v>
      </c>
    </row>
    <row r="35" spans="1:18" x14ac:dyDescent="0.2">
      <c r="A35" s="17">
        <v>23</v>
      </c>
      <c r="B35" s="176" t="s">
        <v>918</v>
      </c>
      <c r="C35" s="321">
        <f>'T5A_PLAN_vs_PRFM '!D34*4.03*254/100000+'T5B_PLAN_vs_PRFM  (2)'!D34*312*4.03/100000</f>
        <v>402.49762020000003</v>
      </c>
      <c r="D35" s="321">
        <f>'T5A_PLAN_vs_PRFM '!D34*2.68*254/100000+'T5B_PLAN_vs_PRFM  (2)'!D34*312*2.68/100000</f>
        <v>267.66591120000004</v>
      </c>
      <c r="E35" s="321">
        <f t="shared" si="0"/>
        <v>670.16353140000001</v>
      </c>
      <c r="F35" s="323">
        <v>150.49436210440001</v>
      </c>
      <c r="G35" s="323">
        <v>33.643304316598773</v>
      </c>
      <c r="H35" s="321">
        <f t="shared" si="1"/>
        <v>184.13766642099878</v>
      </c>
      <c r="I35" s="323">
        <v>252.00325809560002</v>
      </c>
      <c r="J35" s="321">
        <v>217.08337680000002</v>
      </c>
      <c r="K35" s="321">
        <f t="shared" si="2"/>
        <v>469.08663489560001</v>
      </c>
      <c r="L35" s="321">
        <f>'T5A_PLAN_vs_PRFM '!H34*4.03/100000</f>
        <v>257.43011319999999</v>
      </c>
      <c r="M35" s="321">
        <f>'T5A_PLAN_vs_PRFM '!H34*2.68/100000</f>
        <v>171.19421920000002</v>
      </c>
      <c r="N35" s="321">
        <f t="shared" si="3"/>
        <v>428.62433240000001</v>
      </c>
      <c r="O35" s="321">
        <f t="shared" si="4"/>
        <v>145.06750700000003</v>
      </c>
      <c r="P35" s="321">
        <f t="shared" si="5"/>
        <v>79.532461916598777</v>
      </c>
      <c r="Q35" s="321">
        <f t="shared" si="6"/>
        <v>224.59996891659881</v>
      </c>
    </row>
    <row r="36" spans="1:18" x14ac:dyDescent="0.2">
      <c r="A36" s="17">
        <v>24</v>
      </c>
      <c r="B36" s="18" t="s">
        <v>919</v>
      </c>
      <c r="C36" s="321">
        <f>'T5A_PLAN_vs_PRFM '!D35*4.03*254/100000+'T5B_PLAN_vs_PRFM  (2)'!D35*312*4.03/100000</f>
        <v>713.60644680000007</v>
      </c>
      <c r="D36" s="321">
        <f>'T5A_PLAN_vs_PRFM '!D35*2.68*254/100000+'T5B_PLAN_vs_PRFM  (2)'!D35*312*2.68/100000</f>
        <v>474.55714080000007</v>
      </c>
      <c r="E36" s="321">
        <f t="shared" si="0"/>
        <v>1188.1635876</v>
      </c>
      <c r="F36" s="323">
        <v>382.6364183224</v>
      </c>
      <c r="G36" s="323">
        <v>119.25193178352725</v>
      </c>
      <c r="H36" s="321">
        <f t="shared" si="1"/>
        <v>501.88835010592726</v>
      </c>
      <c r="I36" s="323">
        <v>330.97002847760007</v>
      </c>
      <c r="J36" s="321">
        <v>384.87705120000004</v>
      </c>
      <c r="K36" s="321">
        <f t="shared" si="2"/>
        <v>715.84707967760005</v>
      </c>
      <c r="L36" s="321">
        <f>'T5A_PLAN_vs_PRFM '!H35*4.03/100000</f>
        <v>351.95831709999999</v>
      </c>
      <c r="M36" s="321">
        <f>'T5A_PLAN_vs_PRFM '!H35*2.68/100000</f>
        <v>234.05664760000002</v>
      </c>
      <c r="N36" s="321">
        <f t="shared" si="3"/>
        <v>586.01496470000006</v>
      </c>
      <c r="O36" s="321">
        <f t="shared" si="4"/>
        <v>361.64812970000008</v>
      </c>
      <c r="P36" s="321">
        <f t="shared" si="5"/>
        <v>270.07233538352727</v>
      </c>
      <c r="Q36" s="321">
        <f t="shared" si="6"/>
        <v>631.72046508352719</v>
      </c>
    </row>
    <row r="37" spans="1:18" s="14" customFormat="1" x14ac:dyDescent="0.2">
      <c r="A37" s="798" t="s">
        <v>18</v>
      </c>
      <c r="B37" s="800"/>
      <c r="C37" s="322">
        <f>SUM(C13:C36)</f>
        <v>10248.732977600001</v>
      </c>
      <c r="D37" s="322">
        <f t="shared" ref="D37:Q37" si="7">SUM(D13:D36)</f>
        <v>6815.5345856000004</v>
      </c>
      <c r="E37" s="322">
        <f t="shared" si="7"/>
        <v>17064.267563199999</v>
      </c>
      <c r="F37" s="322">
        <f t="shared" si="7"/>
        <v>1401.2869678776005</v>
      </c>
      <c r="G37" s="322">
        <f t="shared" si="7"/>
        <v>2633.5909044148157</v>
      </c>
      <c r="H37" s="322">
        <f t="shared" si="7"/>
        <v>4034.8778722924171</v>
      </c>
      <c r="I37" s="322">
        <f t="shared" si="7"/>
        <v>8847.4460097224019</v>
      </c>
      <c r="J37" s="322">
        <f t="shared" si="7"/>
        <v>5522.6029188000002</v>
      </c>
      <c r="K37" s="322">
        <f t="shared" si="7"/>
        <v>14370.048928522403</v>
      </c>
      <c r="L37" s="322">
        <f t="shared" si="7"/>
        <v>6261.3800496000022</v>
      </c>
      <c r="M37" s="322">
        <f t="shared" si="7"/>
        <v>4163.8954175999997</v>
      </c>
      <c r="N37" s="322">
        <f t="shared" si="7"/>
        <v>10425.275467200003</v>
      </c>
      <c r="O37" s="322">
        <f t="shared" si="7"/>
        <v>3987.3529280000007</v>
      </c>
      <c r="P37" s="322">
        <f t="shared" si="5"/>
        <v>3992.2984056148161</v>
      </c>
      <c r="Q37" s="322">
        <f t="shared" si="7"/>
        <v>7979.6513336148164</v>
      </c>
    </row>
    <row r="38" spans="1:18" x14ac:dyDescent="0.2">
      <c r="A38" s="11"/>
      <c r="B38" s="28"/>
      <c r="C38" s="28"/>
      <c r="D38" s="28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8" ht="14.25" customHeight="1" x14ac:dyDescent="0.2">
      <c r="A39" s="965" t="s">
        <v>663</v>
      </c>
      <c r="B39" s="965"/>
      <c r="C39" s="965"/>
      <c r="D39" s="965"/>
      <c r="E39" s="965"/>
      <c r="F39" s="965"/>
      <c r="G39" s="965"/>
      <c r="H39" s="965"/>
      <c r="I39" s="965"/>
      <c r="J39" s="965"/>
      <c r="K39" s="965"/>
      <c r="L39" s="965"/>
      <c r="M39" s="965"/>
      <c r="N39" s="965"/>
      <c r="O39" s="965"/>
      <c r="P39" s="965"/>
      <c r="Q39" s="965"/>
    </row>
    <row r="40" spans="1:18" ht="15.75" customHeight="1" x14ac:dyDescent="0.2">
      <c r="A40" s="3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8" ht="15.75" customHeight="1" x14ac:dyDescent="0.2">
      <c r="A41" s="14" t="s">
        <v>11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P41" s="667" t="s">
        <v>12</v>
      </c>
      <c r="Q41" s="667"/>
    </row>
    <row r="42" spans="1:18" ht="12.75" customHeight="1" x14ac:dyDescent="0.2">
      <c r="A42" s="803" t="s">
        <v>13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</row>
    <row r="43" spans="1:18" ht="12.75" customHeight="1" x14ac:dyDescent="0.2">
      <c r="A43" s="803" t="s">
        <v>19</v>
      </c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</row>
    <row r="44" spans="1:18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O44" s="853" t="s">
        <v>84</v>
      </c>
      <c r="P44" s="853"/>
      <c r="Q44" s="853"/>
      <c r="R44" s="33"/>
    </row>
  </sheetData>
  <mergeCells count="19">
    <mergeCell ref="R1:R10"/>
    <mergeCell ref="A43:Q43"/>
    <mergeCell ref="I10:K10"/>
    <mergeCell ref="L10:N10"/>
    <mergeCell ref="O10:Q10"/>
    <mergeCell ref="A42:Q42"/>
    <mergeCell ref="A8:B8"/>
    <mergeCell ref="A39:Q39"/>
    <mergeCell ref="A10:A11"/>
    <mergeCell ref="B10:B11"/>
    <mergeCell ref="C10:E10"/>
    <mergeCell ref="F10:H10"/>
    <mergeCell ref="O44:Q44"/>
    <mergeCell ref="P1:Q1"/>
    <mergeCell ref="A2:Q2"/>
    <mergeCell ref="A3:Q3"/>
    <mergeCell ref="N9:Q9"/>
    <mergeCell ref="D6:O6"/>
    <mergeCell ref="A37:B37"/>
  </mergeCells>
  <phoneticPr fontId="0" type="noConversion"/>
  <printOptions horizontalCentered="1"/>
  <pageMargins left="0.59" right="0.35" top="0.23622047244094491" bottom="0" header="0.31496062992125984" footer="0.31496062992125984"/>
  <pageSetup paperSize="9" scale="7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AW127"/>
  <sheetViews>
    <sheetView topLeftCell="G31" zoomScaleNormal="100" zoomScaleSheetLayoutView="85" workbookViewId="0">
      <selection activeCell="S38" sqref="S38"/>
    </sheetView>
  </sheetViews>
  <sheetFormatPr defaultRowHeight="12.75" x14ac:dyDescent="0.2"/>
  <cols>
    <col min="1" max="1" width="5.5703125" customWidth="1"/>
    <col min="2" max="2" width="18.85546875" bestFit="1" customWidth="1"/>
    <col min="3" max="3" width="14.7109375" customWidth="1"/>
    <col min="4" max="4" width="11.28515625" customWidth="1"/>
    <col min="5" max="5" width="9.5703125" customWidth="1"/>
    <col min="6" max="6" width="10.140625" customWidth="1"/>
    <col min="7" max="7" width="9.85546875" customWidth="1"/>
    <col min="8" max="8" width="9.42578125" customWidth="1"/>
    <col min="9" max="9" width="10.85546875" bestFit="1" customWidth="1"/>
    <col min="10" max="10" width="11.28515625" bestFit="1" customWidth="1"/>
    <col min="11" max="13" width="10.140625" bestFit="1" customWidth="1"/>
    <col min="14" max="14" width="9.5703125" customWidth="1"/>
    <col min="15" max="15" width="11.42578125" customWidth="1"/>
    <col min="16" max="16" width="12.5703125" bestFit="1" customWidth="1"/>
    <col min="17" max="17" width="9.85546875" bestFit="1" customWidth="1"/>
    <col min="18" max="19" width="13.28515625" bestFit="1" customWidth="1"/>
    <col min="20" max="20" width="10.42578125" customWidth="1"/>
    <col min="21" max="21" width="11.140625" customWidth="1"/>
    <col min="22" max="22" width="11.85546875" customWidth="1"/>
    <col min="24" max="24" width="9.28515625" style="462" hidden="1" customWidth="1"/>
    <col min="25" max="25" width="13.5703125" style="462" hidden="1" customWidth="1"/>
    <col min="26" max="26" width="11.5703125" style="462" bestFit="1" customWidth="1"/>
    <col min="27" max="27" width="9.28515625" style="462" bestFit="1" customWidth="1"/>
    <col min="28" max="33" width="9.140625" style="462" customWidth="1"/>
    <col min="34" max="35" width="10" style="462" bestFit="1" customWidth="1"/>
    <col min="36" max="36" width="9.140625" style="462" customWidth="1"/>
    <col min="37" max="38" width="9.7109375" bestFit="1" customWidth="1"/>
  </cols>
  <sheetData>
    <row r="1" spans="1:49" ht="15" x14ac:dyDescent="0.2">
      <c r="Q1" s="978" t="s">
        <v>65</v>
      </c>
      <c r="R1" s="978"/>
      <c r="S1" s="978"/>
      <c r="T1" s="978"/>
      <c r="U1" s="978"/>
      <c r="V1" s="978"/>
    </row>
    <row r="3" spans="1:49" ht="15" x14ac:dyDescent="0.2">
      <c r="A3" s="930" t="s">
        <v>0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</row>
    <row r="4" spans="1:49" ht="20.25" x14ac:dyDescent="0.3">
      <c r="A4" s="872" t="s">
        <v>740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41"/>
    </row>
    <row r="5" spans="1:49" ht="15.75" x14ac:dyDescent="0.25">
      <c r="A5" s="979" t="s">
        <v>928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</row>
    <row r="6" spans="1:49" x14ac:dyDescent="0.2">
      <c r="A6" s="33"/>
      <c r="B6" s="33"/>
      <c r="C6" s="13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8" spans="1:49" ht="15.75" x14ac:dyDescent="0.25">
      <c r="A8" s="852" t="s">
        <v>811</v>
      </c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Y8" s="462">
        <v>21838</v>
      </c>
      <c r="Z8" s="462">
        <v>13936</v>
      </c>
      <c r="AA8" s="462">
        <f>Y8+Z8</f>
        <v>35774</v>
      </c>
    </row>
    <row r="9" spans="1:49" ht="15.75" x14ac:dyDescent="0.25">
      <c r="A9" s="4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Q9" s="33"/>
      <c r="R9" s="33"/>
      <c r="S9" s="33"/>
      <c r="U9" s="980" t="s">
        <v>217</v>
      </c>
      <c r="V9" s="980"/>
      <c r="Y9" s="463">
        <v>71</v>
      </c>
      <c r="Z9" s="462">
        <v>29</v>
      </c>
    </row>
    <row r="10" spans="1:49" x14ac:dyDescent="0.2">
      <c r="P10" s="921" t="s">
        <v>830</v>
      </c>
      <c r="Q10" s="921"/>
      <c r="R10" s="921"/>
      <c r="S10" s="921"/>
      <c r="T10" s="921"/>
      <c r="U10" s="921"/>
      <c r="V10" s="921"/>
    </row>
    <row r="11" spans="1:49" ht="28.5" customHeight="1" x14ac:dyDescent="0.2">
      <c r="A11" s="818" t="s">
        <v>25</v>
      </c>
      <c r="B11" s="818" t="s">
        <v>197</v>
      </c>
      <c r="C11" s="818" t="s">
        <v>366</v>
      </c>
      <c r="D11" s="818" t="s">
        <v>469</v>
      </c>
      <c r="E11" s="854" t="s">
        <v>855</v>
      </c>
      <c r="F11" s="854"/>
      <c r="G11" s="854"/>
      <c r="H11" s="827" t="s">
        <v>822</v>
      </c>
      <c r="I11" s="828"/>
      <c r="J11" s="829"/>
      <c r="K11" s="966" t="s">
        <v>368</v>
      </c>
      <c r="L11" s="967"/>
      <c r="M11" s="968"/>
      <c r="N11" s="975" t="s">
        <v>151</v>
      </c>
      <c r="O11" s="976"/>
      <c r="P11" s="977"/>
      <c r="Q11" s="834" t="s">
        <v>856</v>
      </c>
      <c r="R11" s="834"/>
      <c r="S11" s="834"/>
      <c r="T11" s="818" t="s">
        <v>239</v>
      </c>
      <c r="U11" s="818" t="s">
        <v>420</v>
      </c>
      <c r="V11" s="818" t="s">
        <v>369</v>
      </c>
    </row>
    <row r="12" spans="1:49" ht="65.25" customHeight="1" x14ac:dyDescent="0.2">
      <c r="A12" s="819"/>
      <c r="B12" s="819"/>
      <c r="C12" s="819"/>
      <c r="D12" s="819"/>
      <c r="E12" s="5" t="s">
        <v>173</v>
      </c>
      <c r="F12" s="5" t="s">
        <v>198</v>
      </c>
      <c r="G12" s="5" t="s">
        <v>18</v>
      </c>
      <c r="H12" s="5" t="s">
        <v>173</v>
      </c>
      <c r="I12" s="5" t="s">
        <v>198</v>
      </c>
      <c r="J12" s="5" t="s">
        <v>18</v>
      </c>
      <c r="K12" s="5" t="s">
        <v>173</v>
      </c>
      <c r="L12" s="5" t="s">
        <v>198</v>
      </c>
      <c r="M12" s="5" t="s">
        <v>18</v>
      </c>
      <c r="N12" s="5" t="s">
        <v>173</v>
      </c>
      <c r="O12" s="5" t="s">
        <v>198</v>
      </c>
      <c r="P12" s="5" t="s">
        <v>18</v>
      </c>
      <c r="Q12" s="5" t="s">
        <v>227</v>
      </c>
      <c r="R12" s="5" t="s">
        <v>209</v>
      </c>
      <c r="S12" s="5" t="s">
        <v>210</v>
      </c>
      <c r="T12" s="819"/>
      <c r="U12" s="819"/>
      <c r="V12" s="819"/>
    </row>
    <row r="13" spans="1:49" x14ac:dyDescent="0.2">
      <c r="A13" s="136">
        <v>1</v>
      </c>
      <c r="B13" s="96">
        <v>2</v>
      </c>
      <c r="C13" s="8">
        <v>3</v>
      </c>
      <c r="D13" s="96">
        <v>4</v>
      </c>
      <c r="E13" s="96">
        <v>5</v>
      </c>
      <c r="F13" s="8">
        <v>6</v>
      </c>
      <c r="G13" s="96">
        <v>7</v>
      </c>
      <c r="H13" s="96">
        <v>8</v>
      </c>
      <c r="I13" s="8">
        <v>9</v>
      </c>
      <c r="J13" s="96">
        <v>10</v>
      </c>
      <c r="K13" s="96">
        <v>11</v>
      </c>
      <c r="L13" s="8">
        <v>12</v>
      </c>
      <c r="M13" s="96">
        <v>13</v>
      </c>
      <c r="N13" s="725">
        <v>14</v>
      </c>
      <c r="O13" s="8">
        <v>15</v>
      </c>
      <c r="P13" s="725">
        <v>16</v>
      </c>
      <c r="Q13" s="725">
        <v>17</v>
      </c>
      <c r="R13" s="8">
        <v>18</v>
      </c>
      <c r="S13" s="725">
        <v>19</v>
      </c>
      <c r="T13" s="725">
        <v>20</v>
      </c>
      <c r="U13" s="8">
        <v>21</v>
      </c>
      <c r="V13" s="96">
        <v>22</v>
      </c>
      <c r="X13" s="462" t="s">
        <v>1011</v>
      </c>
      <c r="Y13" s="462" t="s">
        <v>1007</v>
      </c>
      <c r="Z13" s="462" t="s">
        <v>1008</v>
      </c>
      <c r="AD13" s="462" t="s">
        <v>1007</v>
      </c>
      <c r="AE13" s="462" t="s">
        <v>1008</v>
      </c>
      <c r="AH13" s="462" t="s">
        <v>1009</v>
      </c>
      <c r="AI13" s="462" t="s">
        <v>1010</v>
      </c>
    </row>
    <row r="14" spans="1:49" ht="19.5" customHeight="1" x14ac:dyDescent="0.2">
      <c r="A14" s="272">
        <v>1</v>
      </c>
      <c r="B14" s="273" t="s">
        <v>896</v>
      </c>
      <c r="C14" s="368">
        <v>4982</v>
      </c>
      <c r="D14" s="368">
        <f>C14</f>
        <v>4982</v>
      </c>
      <c r="E14" s="371">
        <f>D14*600*10/100000</f>
        <v>298.92</v>
      </c>
      <c r="F14" s="371">
        <f>D14*10*900/100000</f>
        <v>448.38</v>
      </c>
      <c r="G14" s="371">
        <f>SUM(E14:F14)</f>
        <v>747.3</v>
      </c>
      <c r="H14" s="371">
        <v>26.337309999999942</v>
      </c>
      <c r="I14" s="371">
        <v>-269.07089999999999</v>
      </c>
      <c r="J14" s="371">
        <f>H14+I14</f>
        <v>-242.73359000000005</v>
      </c>
      <c r="K14" s="371">
        <v>272.58269000000007</v>
      </c>
      <c r="L14" s="371">
        <v>434.88</v>
      </c>
      <c r="M14" s="371">
        <f>SUM(K14:L14)</f>
        <v>707.46269000000007</v>
      </c>
      <c r="N14" s="371">
        <f>D14*600*8/100000</f>
        <v>239.136</v>
      </c>
      <c r="O14" s="9">
        <f>D14*0.072</f>
        <v>358.70399999999995</v>
      </c>
      <c r="P14" s="371">
        <f>SUM(N14:O14)</f>
        <v>597.83999999999992</v>
      </c>
      <c r="Q14" s="371">
        <f>H14+K14-N14</f>
        <v>59.78400000000002</v>
      </c>
      <c r="R14" s="371">
        <f>I14+L14-O14</f>
        <v>-192.89489999999995</v>
      </c>
      <c r="S14" s="371">
        <f>SUM(Q14:R14)</f>
        <v>-133.11089999999993</v>
      </c>
      <c r="T14" s="226" t="s">
        <v>1012</v>
      </c>
      <c r="U14" s="368">
        <f>D14</f>
        <v>4982</v>
      </c>
      <c r="V14" s="368">
        <f>U14</f>
        <v>4982</v>
      </c>
      <c r="X14" s="536">
        <f>I14+'AT-8A_Hon_CCH_UPry'!I13</f>
        <v>-269.07089999999999</v>
      </c>
      <c r="Y14" s="536">
        <f>H14+'AT-8A_Hon_CCH_UPry'!H13</f>
        <v>26.337309999999942</v>
      </c>
      <c r="Z14" s="463">
        <v>1445</v>
      </c>
      <c r="AA14" s="463"/>
      <c r="AC14" s="464"/>
      <c r="AG14" s="464"/>
      <c r="AH14" s="465"/>
      <c r="AI14" s="465"/>
      <c r="AK14" s="378"/>
      <c r="AL14" s="378"/>
      <c r="AM14" s="378"/>
      <c r="AN14" s="378"/>
      <c r="AO14" s="378"/>
      <c r="AP14" s="378"/>
      <c r="AQ14" s="378"/>
      <c r="AR14" s="378"/>
      <c r="AS14" s="378"/>
      <c r="AU14" s="378"/>
      <c r="AV14" s="378"/>
      <c r="AW14" s="378"/>
    </row>
    <row r="15" spans="1:49" ht="19.5" customHeight="1" x14ac:dyDescent="0.2">
      <c r="A15" s="272">
        <v>2</v>
      </c>
      <c r="B15" s="273" t="s">
        <v>897</v>
      </c>
      <c r="C15" s="368">
        <v>1627</v>
      </c>
      <c r="D15" s="368">
        <f t="shared" ref="D15:D37" si="0">C15</f>
        <v>1627</v>
      </c>
      <c r="E15" s="371">
        <f t="shared" ref="E15:E37" si="1">D15*600*10/100000</f>
        <v>97.62</v>
      </c>
      <c r="F15" s="371">
        <f t="shared" ref="F15:F37" si="2">D15*10*900/100000</f>
        <v>146.43</v>
      </c>
      <c r="G15" s="371">
        <f t="shared" ref="G15:G37" si="3">SUM(E15:F15)</f>
        <v>244.05</v>
      </c>
      <c r="H15" s="371">
        <v>57.65973000000001</v>
      </c>
      <c r="I15" s="371">
        <v>-132.32919999999999</v>
      </c>
      <c r="J15" s="371">
        <f t="shared" ref="J15:J37" si="4">H15+I15</f>
        <v>-74.669469999999976</v>
      </c>
      <c r="K15" s="371">
        <v>39.960269999999994</v>
      </c>
      <c r="L15" s="371">
        <v>141.47595000000001</v>
      </c>
      <c r="M15" s="371">
        <f t="shared" ref="M15:M37" si="5">SUM(K15:L15)</f>
        <v>181.43621999999999</v>
      </c>
      <c r="N15" s="371">
        <f t="shared" ref="N15:N37" si="6">D15*600*8/100000</f>
        <v>78.096000000000004</v>
      </c>
      <c r="O15" s="9">
        <f t="shared" ref="O15:O37" si="7">D15*0.072</f>
        <v>117.14399999999999</v>
      </c>
      <c r="P15" s="371">
        <f t="shared" ref="P15:P37" si="8">SUM(N15:O15)</f>
        <v>195.24</v>
      </c>
      <c r="Q15" s="371">
        <f t="shared" ref="Q15:Q37" si="9">H15+K15-N15</f>
        <v>19.524000000000001</v>
      </c>
      <c r="R15" s="371">
        <f t="shared" ref="R15:R37" si="10">I15+L15-O15</f>
        <v>-107.99724999999997</v>
      </c>
      <c r="S15" s="371">
        <f t="shared" ref="S15:S37" si="11">SUM(Q15:R15)</f>
        <v>-88.473249999999965</v>
      </c>
      <c r="T15" s="226" t="s">
        <v>1012</v>
      </c>
      <c r="U15" s="368">
        <f t="shared" ref="U15:U37" si="12">D15</f>
        <v>1627</v>
      </c>
      <c r="V15" s="368">
        <f t="shared" ref="V15:V37" si="13">U15</f>
        <v>1627</v>
      </c>
      <c r="X15" s="536">
        <f>I15+'AT-8A_Hon_CCH_UPry'!I14</f>
        <v>-132.32919999999999</v>
      </c>
      <c r="Y15" s="536">
        <f>H15+'AT-8A_Hon_CCH_UPry'!H14</f>
        <v>57.65973000000001</v>
      </c>
      <c r="Z15" s="463">
        <v>472</v>
      </c>
      <c r="AA15" s="463"/>
      <c r="AC15" s="464"/>
      <c r="AG15" s="464"/>
      <c r="AH15" s="465"/>
      <c r="AI15" s="465"/>
      <c r="AK15" s="378"/>
      <c r="AL15" s="378"/>
      <c r="AM15" s="378"/>
      <c r="AN15" s="378"/>
      <c r="AO15" s="378"/>
      <c r="AP15" s="378"/>
      <c r="AQ15" s="378"/>
      <c r="AR15" s="378"/>
      <c r="AS15" s="378"/>
      <c r="AV15" s="378"/>
      <c r="AW15" s="378"/>
    </row>
    <row r="16" spans="1:49" ht="19.5" customHeight="1" x14ac:dyDescent="0.2">
      <c r="A16" s="272">
        <v>3</v>
      </c>
      <c r="B16" s="273" t="s">
        <v>898</v>
      </c>
      <c r="C16" s="368">
        <v>1205</v>
      </c>
      <c r="D16" s="368">
        <f t="shared" si="0"/>
        <v>1205</v>
      </c>
      <c r="E16" s="371">
        <f t="shared" si="1"/>
        <v>72.3</v>
      </c>
      <c r="F16" s="371">
        <f t="shared" si="2"/>
        <v>108.45</v>
      </c>
      <c r="G16" s="371">
        <f t="shared" si="3"/>
        <v>180.75</v>
      </c>
      <c r="H16" s="371">
        <v>13.769540000000006</v>
      </c>
      <c r="I16" s="371">
        <v>-22.670699999999965</v>
      </c>
      <c r="J16" s="371">
        <f t="shared" si="4"/>
        <v>-8.9011599999999582</v>
      </c>
      <c r="K16" s="371">
        <v>58.530459999999991</v>
      </c>
      <c r="L16" s="371">
        <v>104.85144</v>
      </c>
      <c r="M16" s="371">
        <f t="shared" si="5"/>
        <v>163.38189999999997</v>
      </c>
      <c r="N16" s="371">
        <f t="shared" si="6"/>
        <v>57.84</v>
      </c>
      <c r="O16" s="9">
        <f t="shared" si="7"/>
        <v>86.759999999999991</v>
      </c>
      <c r="P16" s="371">
        <f t="shared" si="8"/>
        <v>144.6</v>
      </c>
      <c r="Q16" s="371">
        <f t="shared" si="9"/>
        <v>14.459999999999994</v>
      </c>
      <c r="R16" s="371">
        <f t="shared" si="10"/>
        <v>-4.5792599999999624</v>
      </c>
      <c r="S16" s="371">
        <f t="shared" si="11"/>
        <v>9.8807400000000314</v>
      </c>
      <c r="T16" s="226" t="s">
        <v>1012</v>
      </c>
      <c r="U16" s="368">
        <f t="shared" si="12"/>
        <v>1205</v>
      </c>
      <c r="V16" s="368">
        <f t="shared" si="13"/>
        <v>1205</v>
      </c>
      <c r="X16" s="536">
        <f>I16+'AT-8A_Hon_CCH_UPry'!I15</f>
        <v>-22.670699999999965</v>
      </c>
      <c r="Y16" s="536">
        <f>H16+'AT-8A_Hon_CCH_UPry'!H15</f>
        <v>13.769540000000006</v>
      </c>
      <c r="Z16" s="463">
        <v>349</v>
      </c>
      <c r="AA16" s="463"/>
      <c r="AC16" s="464"/>
      <c r="AG16" s="464"/>
      <c r="AH16" s="465"/>
      <c r="AI16" s="465"/>
      <c r="AK16" s="378"/>
      <c r="AL16" s="378"/>
      <c r="AM16" s="378"/>
      <c r="AN16" s="378"/>
      <c r="AO16" s="378"/>
      <c r="AP16" s="378"/>
      <c r="AQ16" s="378"/>
      <c r="AR16" s="378"/>
      <c r="AS16" s="378"/>
      <c r="AV16" s="378"/>
      <c r="AW16" s="378"/>
    </row>
    <row r="17" spans="1:49" ht="19.5" customHeight="1" x14ac:dyDescent="0.2">
      <c r="A17" s="272">
        <v>4</v>
      </c>
      <c r="B17" s="273" t="s">
        <v>899</v>
      </c>
      <c r="C17" s="368">
        <v>3686</v>
      </c>
      <c r="D17" s="368">
        <f t="shared" si="0"/>
        <v>3686</v>
      </c>
      <c r="E17" s="371">
        <f t="shared" si="1"/>
        <v>221.16</v>
      </c>
      <c r="F17" s="371">
        <f t="shared" si="2"/>
        <v>331.74</v>
      </c>
      <c r="G17" s="371">
        <f t="shared" si="3"/>
        <v>552.9</v>
      </c>
      <c r="H17" s="371">
        <v>5.7199999999999989</v>
      </c>
      <c r="I17" s="371">
        <v>-409.87099999999987</v>
      </c>
      <c r="J17" s="371">
        <f t="shared" si="4"/>
        <v>-404.15099999999984</v>
      </c>
      <c r="K17" s="371">
        <v>338.29884000000004</v>
      </c>
      <c r="L17" s="371">
        <v>320.55633</v>
      </c>
      <c r="M17" s="371">
        <f t="shared" si="5"/>
        <v>658.85517000000004</v>
      </c>
      <c r="N17" s="371">
        <f t="shared" si="6"/>
        <v>176.928</v>
      </c>
      <c r="O17" s="9">
        <f t="shared" si="7"/>
        <v>265.392</v>
      </c>
      <c r="P17" s="371">
        <f t="shared" si="8"/>
        <v>442.32</v>
      </c>
      <c r="Q17" s="371">
        <f t="shared" si="9"/>
        <v>167.09084000000007</v>
      </c>
      <c r="R17" s="371">
        <f t="shared" si="10"/>
        <v>-354.70666999999986</v>
      </c>
      <c r="S17" s="371">
        <f t="shared" si="11"/>
        <v>-187.61582999999979</v>
      </c>
      <c r="T17" s="226" t="s">
        <v>1012</v>
      </c>
      <c r="U17" s="368">
        <f t="shared" si="12"/>
        <v>3686</v>
      </c>
      <c r="V17" s="368">
        <f t="shared" si="13"/>
        <v>3686</v>
      </c>
      <c r="X17" s="536">
        <f>I17+'AT-8A_Hon_CCH_UPry'!I16</f>
        <v>-409.87099999999987</v>
      </c>
      <c r="Y17" s="536">
        <f>H17+'AT-8A_Hon_CCH_UPry'!H16</f>
        <v>5.7199999999999989</v>
      </c>
      <c r="Z17" s="463">
        <v>1069</v>
      </c>
      <c r="AA17" s="463"/>
      <c r="AC17" s="464"/>
      <c r="AG17" s="464"/>
      <c r="AH17" s="465"/>
      <c r="AI17" s="465"/>
      <c r="AK17" s="378"/>
      <c r="AL17" s="378"/>
      <c r="AM17" s="378"/>
      <c r="AN17" s="378"/>
      <c r="AO17" s="378"/>
      <c r="AP17" s="378"/>
      <c r="AQ17" s="378"/>
      <c r="AR17" s="378"/>
      <c r="AS17" s="378"/>
      <c r="AV17" s="378"/>
      <c r="AW17" s="378"/>
    </row>
    <row r="18" spans="1:49" ht="19.5" customHeight="1" x14ac:dyDescent="0.2">
      <c r="A18" s="272">
        <v>5</v>
      </c>
      <c r="B18" s="273" t="s">
        <v>900</v>
      </c>
      <c r="C18" s="368">
        <v>2093</v>
      </c>
      <c r="D18" s="368">
        <f t="shared" si="0"/>
        <v>2093</v>
      </c>
      <c r="E18" s="371">
        <f t="shared" si="1"/>
        <v>125.58</v>
      </c>
      <c r="F18" s="371">
        <f t="shared" si="2"/>
        <v>188.37</v>
      </c>
      <c r="G18" s="371">
        <f t="shared" si="3"/>
        <v>313.95</v>
      </c>
      <c r="H18" s="371">
        <v>23.908709999999999</v>
      </c>
      <c r="I18" s="371">
        <v>-153.88799999999998</v>
      </c>
      <c r="J18" s="371">
        <f t="shared" si="4"/>
        <v>-129.97928999999999</v>
      </c>
      <c r="K18" s="371">
        <v>101.67129</v>
      </c>
      <c r="L18" s="371">
        <v>182.02014</v>
      </c>
      <c r="M18" s="371">
        <f t="shared" si="5"/>
        <v>283.69142999999997</v>
      </c>
      <c r="N18" s="371">
        <f t="shared" si="6"/>
        <v>100.464</v>
      </c>
      <c r="O18" s="9">
        <f t="shared" si="7"/>
        <v>150.696</v>
      </c>
      <c r="P18" s="371">
        <f t="shared" si="8"/>
        <v>251.16</v>
      </c>
      <c r="Q18" s="371">
        <f t="shared" si="9"/>
        <v>25.116</v>
      </c>
      <c r="R18" s="371">
        <f t="shared" si="10"/>
        <v>-122.56385999999998</v>
      </c>
      <c r="S18" s="371">
        <f t="shared" si="11"/>
        <v>-97.447859999999977</v>
      </c>
      <c r="T18" s="226" t="s">
        <v>1012</v>
      </c>
      <c r="U18" s="368">
        <f t="shared" si="12"/>
        <v>2093</v>
      </c>
      <c r="V18" s="368">
        <f t="shared" si="13"/>
        <v>2093</v>
      </c>
      <c r="X18" s="536">
        <f>I18+'AT-8A_Hon_CCH_UPry'!I17</f>
        <v>-153.88799999999998</v>
      </c>
      <c r="Y18" s="536">
        <f>H18+'AT-8A_Hon_CCH_UPry'!H17</f>
        <v>23.908709999999999</v>
      </c>
      <c r="Z18" s="463">
        <v>607</v>
      </c>
      <c r="AA18" s="463"/>
      <c r="AC18" s="464"/>
      <c r="AD18" s="530"/>
      <c r="AG18" s="464"/>
      <c r="AH18" s="465"/>
      <c r="AI18" s="465"/>
      <c r="AK18" s="378"/>
      <c r="AL18" s="378"/>
      <c r="AM18" s="378"/>
      <c r="AN18" s="378"/>
      <c r="AO18" s="378"/>
      <c r="AP18" s="378"/>
      <c r="AQ18" s="378"/>
      <c r="AR18" s="378"/>
      <c r="AS18" s="378"/>
      <c r="AV18" s="378"/>
      <c r="AW18" s="378"/>
    </row>
    <row r="19" spans="1:49" ht="19.5" customHeight="1" x14ac:dyDescent="0.2">
      <c r="A19" s="272">
        <v>6</v>
      </c>
      <c r="B19" s="273" t="s">
        <v>901</v>
      </c>
      <c r="C19" s="368">
        <v>3467</v>
      </c>
      <c r="D19" s="368">
        <f t="shared" si="0"/>
        <v>3467</v>
      </c>
      <c r="E19" s="371">
        <f t="shared" si="1"/>
        <v>208.02</v>
      </c>
      <c r="F19" s="371">
        <f t="shared" si="2"/>
        <v>312.02999999999997</v>
      </c>
      <c r="G19" s="371">
        <f t="shared" si="3"/>
        <v>520.04999999999995</v>
      </c>
      <c r="H19" s="371">
        <v>23.903410000000036</v>
      </c>
      <c r="I19" s="371">
        <v>-92.51004999999995</v>
      </c>
      <c r="J19" s="371">
        <f t="shared" si="4"/>
        <v>-68.606639999999913</v>
      </c>
      <c r="K19" s="371">
        <v>184.11658999999992</v>
      </c>
      <c r="L19" s="371">
        <v>301.57038</v>
      </c>
      <c r="M19" s="371">
        <f t="shared" si="5"/>
        <v>485.68696999999992</v>
      </c>
      <c r="N19" s="371">
        <f t="shared" si="6"/>
        <v>166.416</v>
      </c>
      <c r="O19" s="9">
        <f t="shared" si="7"/>
        <v>249.624</v>
      </c>
      <c r="P19" s="371">
        <f t="shared" si="8"/>
        <v>416.03999999999996</v>
      </c>
      <c r="Q19" s="371">
        <f t="shared" si="9"/>
        <v>41.603999999999957</v>
      </c>
      <c r="R19" s="371">
        <f t="shared" si="10"/>
        <v>-40.563669999999945</v>
      </c>
      <c r="S19" s="371">
        <f t="shared" si="11"/>
        <v>1.0403300000000115</v>
      </c>
      <c r="T19" s="226" t="s">
        <v>1012</v>
      </c>
      <c r="U19" s="368">
        <f t="shared" si="12"/>
        <v>3467</v>
      </c>
      <c r="V19" s="368">
        <f t="shared" si="13"/>
        <v>3467</v>
      </c>
      <c r="X19" s="536">
        <f>I19+'AT-8A_Hon_CCH_UPry'!I18</f>
        <v>-92.51004999999995</v>
      </c>
      <c r="Y19" s="536">
        <f>H19+'AT-8A_Hon_CCH_UPry'!H18</f>
        <v>23.903410000000036</v>
      </c>
      <c r="Z19" s="463">
        <v>1005</v>
      </c>
      <c r="AA19" s="463"/>
      <c r="AC19" s="464"/>
      <c r="AD19" s="739"/>
      <c r="AG19" s="464"/>
      <c r="AH19" s="465"/>
      <c r="AI19" s="465"/>
      <c r="AK19" s="378"/>
      <c r="AL19" s="378"/>
      <c r="AM19" s="378"/>
      <c r="AN19" s="378"/>
      <c r="AO19" s="378"/>
      <c r="AP19" s="378"/>
      <c r="AQ19" s="378"/>
      <c r="AR19" s="378"/>
      <c r="AS19" s="378"/>
      <c r="AV19" s="378"/>
      <c r="AW19" s="378"/>
    </row>
    <row r="20" spans="1:49" ht="19.5" customHeight="1" x14ac:dyDescent="0.2">
      <c r="A20" s="272">
        <v>7</v>
      </c>
      <c r="B20" s="273" t="s">
        <v>902</v>
      </c>
      <c r="C20" s="368">
        <v>2687</v>
      </c>
      <c r="D20" s="368">
        <f t="shared" si="0"/>
        <v>2687</v>
      </c>
      <c r="E20" s="371">
        <f t="shared" si="1"/>
        <v>161.22</v>
      </c>
      <c r="F20" s="371">
        <f t="shared" si="2"/>
        <v>241.83</v>
      </c>
      <c r="G20" s="371">
        <f t="shared" si="3"/>
        <v>403.05</v>
      </c>
      <c r="H20" s="371">
        <v>0</v>
      </c>
      <c r="I20" s="371">
        <v>25.76259999999996</v>
      </c>
      <c r="J20" s="371">
        <f t="shared" si="4"/>
        <v>25.76259999999996</v>
      </c>
      <c r="K20" s="371">
        <v>190.64574999999996</v>
      </c>
      <c r="L20" s="371">
        <v>233.71091999999999</v>
      </c>
      <c r="M20" s="371">
        <f t="shared" si="5"/>
        <v>424.35666999999995</v>
      </c>
      <c r="N20" s="371">
        <f t="shared" si="6"/>
        <v>128.976</v>
      </c>
      <c r="O20" s="9">
        <f t="shared" si="7"/>
        <v>193.464</v>
      </c>
      <c r="P20" s="371">
        <f t="shared" si="8"/>
        <v>322.44</v>
      </c>
      <c r="Q20" s="371">
        <f t="shared" si="9"/>
        <v>61.669749999999965</v>
      </c>
      <c r="R20" s="371">
        <f t="shared" si="10"/>
        <v>66.009519999999952</v>
      </c>
      <c r="S20" s="371">
        <f t="shared" si="11"/>
        <v>127.67926999999992</v>
      </c>
      <c r="T20" s="226" t="s">
        <v>1012</v>
      </c>
      <c r="U20" s="368">
        <f t="shared" si="12"/>
        <v>2687</v>
      </c>
      <c r="V20" s="368">
        <f t="shared" si="13"/>
        <v>2687</v>
      </c>
      <c r="X20" s="536">
        <f>I20+'AT-8A_Hon_CCH_UPry'!I19</f>
        <v>25.76259999999996</v>
      </c>
      <c r="Y20" s="536">
        <f>H20+'AT-8A_Hon_CCH_UPry'!H19</f>
        <v>0</v>
      </c>
      <c r="Z20" s="463">
        <v>779</v>
      </c>
      <c r="AA20" s="463"/>
      <c r="AC20" s="464"/>
      <c r="AD20" s="739"/>
      <c r="AG20" s="464"/>
      <c r="AH20" s="465"/>
      <c r="AI20" s="465"/>
      <c r="AK20" s="378"/>
      <c r="AL20" s="378"/>
      <c r="AM20" s="378"/>
      <c r="AN20" s="378"/>
      <c r="AO20" s="378"/>
      <c r="AP20" s="378"/>
      <c r="AQ20" s="378"/>
      <c r="AR20" s="378"/>
      <c r="AS20" s="378"/>
      <c r="AV20" s="378"/>
      <c r="AW20" s="378"/>
    </row>
    <row r="21" spans="1:49" ht="19.5" customHeight="1" x14ac:dyDescent="0.2">
      <c r="A21" s="272">
        <v>8</v>
      </c>
      <c r="B21" s="273" t="s">
        <v>903</v>
      </c>
      <c r="C21" s="368">
        <v>3717</v>
      </c>
      <c r="D21" s="368">
        <f t="shared" si="0"/>
        <v>3717</v>
      </c>
      <c r="E21" s="371">
        <f t="shared" si="1"/>
        <v>223.02</v>
      </c>
      <c r="F21" s="371">
        <f t="shared" si="2"/>
        <v>334.53</v>
      </c>
      <c r="G21" s="371">
        <f t="shared" si="3"/>
        <v>557.54999999999995</v>
      </c>
      <c r="H21" s="371">
        <v>87.092159999999978</v>
      </c>
      <c r="I21" s="371">
        <v>-125.12060000000002</v>
      </c>
      <c r="J21" s="371">
        <f t="shared" si="4"/>
        <v>-38.028440000000046</v>
      </c>
      <c r="K21" s="371">
        <v>135.92784000000006</v>
      </c>
      <c r="L21" s="371">
        <v>323.25110999999998</v>
      </c>
      <c r="M21" s="371">
        <f t="shared" si="5"/>
        <v>459.17895000000004</v>
      </c>
      <c r="N21" s="371">
        <f t="shared" si="6"/>
        <v>178.416</v>
      </c>
      <c r="O21" s="9">
        <f t="shared" si="7"/>
        <v>267.62399999999997</v>
      </c>
      <c r="P21" s="371">
        <f t="shared" si="8"/>
        <v>446.03999999999996</v>
      </c>
      <c r="Q21" s="371">
        <f t="shared" si="9"/>
        <v>44.604000000000042</v>
      </c>
      <c r="R21" s="371">
        <f t="shared" si="10"/>
        <v>-69.493490000000008</v>
      </c>
      <c r="S21" s="371">
        <f t="shared" si="11"/>
        <v>-24.889489999999967</v>
      </c>
      <c r="T21" s="226" t="s">
        <v>1012</v>
      </c>
      <c r="U21" s="368">
        <f t="shared" si="12"/>
        <v>3717</v>
      </c>
      <c r="V21" s="368">
        <f t="shared" si="13"/>
        <v>3717</v>
      </c>
      <c r="X21" s="536">
        <f>I21+'AT-8A_Hon_CCH_UPry'!I20</f>
        <v>-125.12060000000002</v>
      </c>
      <c r="Y21" s="536">
        <f>H21+'AT-8A_Hon_CCH_UPry'!H20</f>
        <v>87.092159999999978</v>
      </c>
      <c r="Z21" s="463">
        <v>1078</v>
      </c>
      <c r="AA21" s="463"/>
      <c r="AC21" s="464"/>
      <c r="AD21" s="739"/>
      <c r="AG21" s="464"/>
      <c r="AH21" s="465"/>
      <c r="AI21" s="465"/>
      <c r="AK21" s="378"/>
      <c r="AL21" s="378"/>
      <c r="AM21" s="378"/>
      <c r="AN21" s="378"/>
      <c r="AO21" s="378"/>
      <c r="AP21" s="378"/>
      <c r="AQ21" s="378"/>
      <c r="AR21" s="378"/>
      <c r="AS21" s="378"/>
      <c r="AV21" s="378"/>
      <c r="AW21" s="378"/>
    </row>
    <row r="22" spans="1:49" ht="19.5" customHeight="1" x14ac:dyDescent="0.2">
      <c r="A22" s="272">
        <v>9</v>
      </c>
      <c r="B22" s="273" t="s">
        <v>904</v>
      </c>
      <c r="C22" s="368">
        <v>5569</v>
      </c>
      <c r="D22" s="368">
        <f t="shared" si="0"/>
        <v>5569</v>
      </c>
      <c r="E22" s="371">
        <f t="shared" si="1"/>
        <v>334.14</v>
      </c>
      <c r="F22" s="371">
        <f t="shared" si="2"/>
        <v>501.21</v>
      </c>
      <c r="G22" s="371">
        <f t="shared" si="3"/>
        <v>835.34999999999991</v>
      </c>
      <c r="H22" s="371">
        <v>6.83</v>
      </c>
      <c r="I22" s="371">
        <v>-162.75549999999993</v>
      </c>
      <c r="J22" s="371">
        <f t="shared" si="4"/>
        <v>-155.92549999999991</v>
      </c>
      <c r="K22" s="371">
        <v>73.274040000000014</v>
      </c>
      <c r="L22" s="371">
        <v>484.32545999999996</v>
      </c>
      <c r="M22" s="371">
        <f t="shared" si="5"/>
        <v>557.59950000000003</v>
      </c>
      <c r="N22" s="371">
        <f t="shared" si="6"/>
        <v>267.31200000000001</v>
      </c>
      <c r="O22" s="9">
        <f t="shared" si="7"/>
        <v>400.96799999999996</v>
      </c>
      <c r="P22" s="371">
        <f t="shared" si="8"/>
        <v>668.28</v>
      </c>
      <c r="Q22" s="371">
        <f t="shared" si="9"/>
        <v>-187.20796000000001</v>
      </c>
      <c r="R22" s="371">
        <f t="shared" si="10"/>
        <v>-79.398039999999924</v>
      </c>
      <c r="S22" s="371">
        <f t="shared" si="11"/>
        <v>-266.60599999999994</v>
      </c>
      <c r="T22" s="226" t="s">
        <v>1012</v>
      </c>
      <c r="U22" s="368">
        <f t="shared" si="12"/>
        <v>5569</v>
      </c>
      <c r="V22" s="368">
        <f t="shared" si="13"/>
        <v>5569</v>
      </c>
      <c r="X22" s="536">
        <f>I22+'AT-8A_Hon_CCH_UPry'!I21</f>
        <v>-162.75549999999993</v>
      </c>
      <c r="Y22" s="536">
        <f>H22+'AT-8A_Hon_CCH_UPry'!H21</f>
        <v>6.83</v>
      </c>
      <c r="Z22" s="463">
        <v>1615</v>
      </c>
      <c r="AA22" s="463"/>
      <c r="AC22" s="464"/>
      <c r="AD22" s="739"/>
      <c r="AG22" s="464"/>
      <c r="AH22" s="465"/>
      <c r="AI22" s="465"/>
      <c r="AK22" s="378"/>
      <c r="AL22" s="378"/>
      <c r="AM22" s="378"/>
      <c r="AN22" s="378"/>
      <c r="AO22" s="378"/>
      <c r="AP22" s="378"/>
      <c r="AQ22" s="378"/>
      <c r="AR22" s="378"/>
      <c r="AS22" s="378"/>
      <c r="AV22" s="378"/>
      <c r="AW22" s="378"/>
    </row>
    <row r="23" spans="1:49" ht="19.5" customHeight="1" x14ac:dyDescent="0.2">
      <c r="A23" s="272">
        <v>10</v>
      </c>
      <c r="B23" s="273" t="s">
        <v>905</v>
      </c>
      <c r="C23" s="368">
        <v>2421</v>
      </c>
      <c r="D23" s="368">
        <f t="shared" si="0"/>
        <v>2421</v>
      </c>
      <c r="E23" s="371">
        <f t="shared" si="1"/>
        <v>145.26</v>
      </c>
      <c r="F23" s="371">
        <f t="shared" si="2"/>
        <v>217.89</v>
      </c>
      <c r="G23" s="371">
        <f t="shared" si="3"/>
        <v>363.15</v>
      </c>
      <c r="H23" s="371">
        <v>140.75876999999997</v>
      </c>
      <c r="I23" s="371">
        <v>-39.090499999999992</v>
      </c>
      <c r="J23" s="371">
        <f t="shared" si="4"/>
        <v>101.66826999999998</v>
      </c>
      <c r="K23" s="371">
        <v>4.5012299999999925</v>
      </c>
      <c r="L23" s="371">
        <v>210.56030999999996</v>
      </c>
      <c r="M23" s="371">
        <f t="shared" si="5"/>
        <v>215.06153999999995</v>
      </c>
      <c r="N23" s="371">
        <f t="shared" si="6"/>
        <v>116.208</v>
      </c>
      <c r="O23" s="9">
        <f t="shared" si="7"/>
        <v>174.31199999999998</v>
      </c>
      <c r="P23" s="371">
        <f t="shared" si="8"/>
        <v>290.52</v>
      </c>
      <c r="Q23" s="371">
        <f t="shared" si="9"/>
        <v>29.051999999999964</v>
      </c>
      <c r="R23" s="371">
        <f t="shared" si="10"/>
        <v>-2.8421900000000164</v>
      </c>
      <c r="S23" s="371">
        <f t="shared" si="11"/>
        <v>26.209809999999948</v>
      </c>
      <c r="T23" s="226" t="s">
        <v>1012</v>
      </c>
      <c r="U23" s="368">
        <f t="shared" si="12"/>
        <v>2421</v>
      </c>
      <c r="V23" s="368">
        <f t="shared" si="13"/>
        <v>2421</v>
      </c>
      <c r="X23" s="536">
        <f>I23+'AT-8A_Hon_CCH_UPry'!I22</f>
        <v>-39.090499999999992</v>
      </c>
      <c r="Y23" s="536">
        <f>H23+'AT-8A_Hon_CCH_UPry'!H22</f>
        <v>140.75876999999997</v>
      </c>
      <c r="Z23" s="463">
        <v>702</v>
      </c>
      <c r="AA23" s="463"/>
      <c r="AC23" s="464"/>
      <c r="AD23" s="739"/>
      <c r="AG23" s="464"/>
      <c r="AH23" s="465"/>
      <c r="AI23" s="465"/>
      <c r="AK23" s="378"/>
      <c r="AL23" s="378"/>
      <c r="AM23" s="378"/>
      <c r="AN23" s="378"/>
      <c r="AO23" s="378"/>
      <c r="AP23" s="378"/>
      <c r="AQ23" s="378"/>
      <c r="AR23" s="378"/>
      <c r="AS23" s="378"/>
      <c r="AV23" s="378"/>
      <c r="AW23" s="378"/>
    </row>
    <row r="24" spans="1:49" ht="19.5" customHeight="1" x14ac:dyDescent="0.2">
      <c r="A24" s="272">
        <v>11</v>
      </c>
      <c r="B24" s="273" t="s">
        <v>906</v>
      </c>
      <c r="C24" s="368">
        <v>3429</v>
      </c>
      <c r="D24" s="368">
        <f t="shared" si="0"/>
        <v>3429</v>
      </c>
      <c r="E24" s="371">
        <f t="shared" si="1"/>
        <v>205.74</v>
      </c>
      <c r="F24" s="371">
        <f t="shared" si="2"/>
        <v>308.61</v>
      </c>
      <c r="G24" s="371">
        <f t="shared" si="3"/>
        <v>514.35</v>
      </c>
      <c r="H24" s="371">
        <v>46.55</v>
      </c>
      <c r="I24" s="371">
        <v>-168.17530999999994</v>
      </c>
      <c r="J24" s="371">
        <f t="shared" si="4"/>
        <v>-121.62530999999994</v>
      </c>
      <c r="K24" s="371">
        <v>43.112819999999999</v>
      </c>
      <c r="L24" s="371">
        <v>298.26315</v>
      </c>
      <c r="M24" s="371">
        <f t="shared" si="5"/>
        <v>341.37597</v>
      </c>
      <c r="N24" s="371">
        <f t="shared" si="6"/>
        <v>164.59200000000001</v>
      </c>
      <c r="O24" s="9">
        <f t="shared" si="7"/>
        <v>246.88799999999998</v>
      </c>
      <c r="P24" s="371">
        <f t="shared" si="8"/>
        <v>411.48</v>
      </c>
      <c r="Q24" s="371">
        <f t="shared" si="9"/>
        <v>-74.929180000000017</v>
      </c>
      <c r="R24" s="371">
        <f t="shared" si="10"/>
        <v>-116.80015999999992</v>
      </c>
      <c r="S24" s="371">
        <f t="shared" si="11"/>
        <v>-191.72933999999992</v>
      </c>
      <c r="T24" s="226" t="s">
        <v>1012</v>
      </c>
      <c r="U24" s="368">
        <f t="shared" si="12"/>
        <v>3429</v>
      </c>
      <c r="V24" s="368">
        <f t="shared" si="13"/>
        <v>3429</v>
      </c>
      <c r="X24" s="536">
        <f>I24+'AT-8A_Hon_CCH_UPry'!I23</f>
        <v>-168.17530999999994</v>
      </c>
      <c r="Y24" s="536">
        <f>H24+'AT-8A_Hon_CCH_UPry'!H23</f>
        <v>46.55</v>
      </c>
      <c r="Z24" s="463">
        <v>994</v>
      </c>
      <c r="AA24" s="463"/>
      <c r="AC24" s="464"/>
      <c r="AD24" s="739"/>
      <c r="AG24" s="464"/>
      <c r="AH24" s="465"/>
      <c r="AI24" s="465"/>
      <c r="AK24" s="378"/>
      <c r="AL24" s="378"/>
      <c r="AM24" s="378"/>
      <c r="AN24" s="378"/>
      <c r="AO24" s="378"/>
      <c r="AP24" s="378"/>
      <c r="AQ24" s="378"/>
      <c r="AR24" s="378"/>
      <c r="AS24" s="378"/>
      <c r="AV24" s="378"/>
      <c r="AW24" s="378"/>
    </row>
    <row r="25" spans="1:49" ht="19.5" customHeight="1" x14ac:dyDescent="0.2">
      <c r="A25" s="272">
        <v>12</v>
      </c>
      <c r="B25" s="273" t="s">
        <v>907</v>
      </c>
      <c r="C25" s="368">
        <v>3445</v>
      </c>
      <c r="D25" s="368">
        <f t="shared" si="0"/>
        <v>3445</v>
      </c>
      <c r="E25" s="371">
        <f t="shared" si="1"/>
        <v>206.7</v>
      </c>
      <c r="F25" s="371">
        <f t="shared" si="2"/>
        <v>310.05</v>
      </c>
      <c r="G25" s="371">
        <f t="shared" si="3"/>
        <v>516.75</v>
      </c>
      <c r="H25" s="371">
        <v>93.346019999999982</v>
      </c>
      <c r="I25" s="371">
        <v>-18.930599999999913</v>
      </c>
      <c r="J25" s="371">
        <f t="shared" si="4"/>
        <v>74.415420000000069</v>
      </c>
      <c r="K25" s="371">
        <v>113.35398000000001</v>
      </c>
      <c r="L25" s="371">
        <v>299.61054000000001</v>
      </c>
      <c r="M25" s="371">
        <f t="shared" si="5"/>
        <v>412.96451999999999</v>
      </c>
      <c r="N25" s="371">
        <f t="shared" si="6"/>
        <v>165.36</v>
      </c>
      <c r="O25" s="9">
        <f t="shared" si="7"/>
        <v>248.04</v>
      </c>
      <c r="P25" s="371">
        <f t="shared" si="8"/>
        <v>413.4</v>
      </c>
      <c r="Q25" s="371">
        <f t="shared" si="9"/>
        <v>41.339999999999975</v>
      </c>
      <c r="R25" s="371">
        <f t="shared" si="10"/>
        <v>32.639940000000109</v>
      </c>
      <c r="S25" s="371">
        <f t="shared" si="11"/>
        <v>73.979940000000084</v>
      </c>
      <c r="T25" s="226" t="s">
        <v>1012</v>
      </c>
      <c r="U25" s="368">
        <f t="shared" si="12"/>
        <v>3445</v>
      </c>
      <c r="V25" s="368">
        <f t="shared" si="13"/>
        <v>3445</v>
      </c>
      <c r="X25" s="536">
        <f>I25+'AT-8A_Hon_CCH_UPry'!I24</f>
        <v>-18.930599999999913</v>
      </c>
      <c r="Y25" s="536">
        <f>H25+'AT-8A_Hon_CCH_UPry'!H24</f>
        <v>93.346019999999982</v>
      </c>
      <c r="Z25" s="463">
        <v>999</v>
      </c>
      <c r="AA25" s="463"/>
      <c r="AC25" s="464"/>
      <c r="AD25" s="739"/>
      <c r="AG25" s="464"/>
      <c r="AH25" s="465"/>
      <c r="AI25" s="465"/>
      <c r="AK25" s="378"/>
      <c r="AL25" s="378"/>
      <c r="AM25" s="378"/>
      <c r="AN25" s="378"/>
      <c r="AO25" s="378"/>
      <c r="AP25" s="378"/>
      <c r="AQ25" s="378"/>
      <c r="AR25" s="378"/>
      <c r="AS25" s="378"/>
      <c r="AV25" s="378"/>
      <c r="AW25" s="378"/>
    </row>
    <row r="26" spans="1:49" ht="19.5" customHeight="1" x14ac:dyDescent="0.2">
      <c r="A26" s="272">
        <v>13</v>
      </c>
      <c r="B26" s="273" t="s">
        <v>908</v>
      </c>
      <c r="C26" s="368">
        <v>1704</v>
      </c>
      <c r="D26" s="368">
        <f t="shared" si="0"/>
        <v>1704</v>
      </c>
      <c r="E26" s="371">
        <f t="shared" si="1"/>
        <v>102.24</v>
      </c>
      <c r="F26" s="371">
        <f t="shared" si="2"/>
        <v>153.36000000000001</v>
      </c>
      <c r="G26" s="371">
        <f t="shared" si="3"/>
        <v>255.60000000000002</v>
      </c>
      <c r="H26" s="371">
        <v>0</v>
      </c>
      <c r="I26" s="371">
        <v>-52.024400000000014</v>
      </c>
      <c r="J26" s="371">
        <f t="shared" si="4"/>
        <v>-52.024400000000014</v>
      </c>
      <c r="K26" s="371">
        <v>143.99239</v>
      </c>
      <c r="L26" s="371">
        <v>148.21289999999999</v>
      </c>
      <c r="M26" s="371">
        <f t="shared" si="5"/>
        <v>292.20528999999999</v>
      </c>
      <c r="N26" s="371">
        <f t="shared" si="6"/>
        <v>81.792000000000002</v>
      </c>
      <c r="O26" s="9">
        <f t="shared" si="7"/>
        <v>122.68799999999999</v>
      </c>
      <c r="P26" s="371">
        <f t="shared" si="8"/>
        <v>204.48</v>
      </c>
      <c r="Q26" s="371">
        <f t="shared" si="9"/>
        <v>62.200389999999999</v>
      </c>
      <c r="R26" s="371">
        <f t="shared" si="10"/>
        <v>-26.499500000000012</v>
      </c>
      <c r="S26" s="371">
        <f t="shared" si="11"/>
        <v>35.700889999999987</v>
      </c>
      <c r="T26" s="226" t="s">
        <v>1012</v>
      </c>
      <c r="U26" s="368">
        <f t="shared" si="12"/>
        <v>1704</v>
      </c>
      <c r="V26" s="368">
        <f t="shared" si="13"/>
        <v>1704</v>
      </c>
      <c r="X26" s="536">
        <f>I26+'AT-8A_Hon_CCH_UPry'!I25</f>
        <v>-52.024400000000014</v>
      </c>
      <c r="Y26" s="536">
        <f>H26+'AT-8A_Hon_CCH_UPry'!H25</f>
        <v>0</v>
      </c>
      <c r="Z26" s="463">
        <v>494</v>
      </c>
      <c r="AA26" s="463"/>
      <c r="AC26" s="464"/>
      <c r="AD26" s="739"/>
      <c r="AG26" s="464"/>
      <c r="AH26" s="465"/>
      <c r="AI26" s="465"/>
      <c r="AK26" s="378"/>
      <c r="AL26" s="378"/>
      <c r="AM26" s="378"/>
      <c r="AN26" s="378"/>
      <c r="AO26" s="378"/>
      <c r="AP26" s="378"/>
      <c r="AQ26" s="378"/>
      <c r="AR26" s="378"/>
      <c r="AS26" s="378"/>
      <c r="AV26" s="378"/>
      <c r="AW26" s="378"/>
    </row>
    <row r="27" spans="1:49" ht="19.5" customHeight="1" x14ac:dyDescent="0.2">
      <c r="A27" s="272">
        <v>14</v>
      </c>
      <c r="B27" s="273" t="s">
        <v>909</v>
      </c>
      <c r="C27" s="368">
        <v>1506</v>
      </c>
      <c r="D27" s="368">
        <f t="shared" si="0"/>
        <v>1506</v>
      </c>
      <c r="E27" s="371">
        <f t="shared" si="1"/>
        <v>90.36</v>
      </c>
      <c r="F27" s="371">
        <f t="shared" si="2"/>
        <v>135.54</v>
      </c>
      <c r="G27" s="371">
        <f t="shared" si="3"/>
        <v>225.89999999999998</v>
      </c>
      <c r="H27" s="371">
        <v>8.1280600000000049</v>
      </c>
      <c r="I27" s="371">
        <v>-109.07139699999996</v>
      </c>
      <c r="J27" s="371">
        <f t="shared" si="4"/>
        <v>-100.94333699999996</v>
      </c>
      <c r="K27" s="371">
        <v>82.231939999999994</v>
      </c>
      <c r="L27" s="371">
        <v>130.94181</v>
      </c>
      <c r="M27" s="371">
        <f t="shared" si="5"/>
        <v>213.17374999999998</v>
      </c>
      <c r="N27" s="371">
        <f t="shared" si="6"/>
        <v>72.287999999999997</v>
      </c>
      <c r="O27" s="9">
        <f t="shared" si="7"/>
        <v>108.43199999999999</v>
      </c>
      <c r="P27" s="371">
        <f t="shared" si="8"/>
        <v>180.71999999999997</v>
      </c>
      <c r="Q27" s="371">
        <f t="shared" si="9"/>
        <v>18.072000000000003</v>
      </c>
      <c r="R27" s="371">
        <f t="shared" si="10"/>
        <v>-86.561586999999946</v>
      </c>
      <c r="S27" s="371">
        <f t="shared" si="11"/>
        <v>-68.489586999999943</v>
      </c>
      <c r="T27" s="226" t="s">
        <v>1012</v>
      </c>
      <c r="U27" s="368">
        <f t="shared" si="12"/>
        <v>1506</v>
      </c>
      <c r="V27" s="368">
        <f t="shared" si="13"/>
        <v>1506</v>
      </c>
      <c r="X27" s="536">
        <f>I27+'AT-8A_Hon_CCH_UPry'!I26</f>
        <v>-109.07139699999996</v>
      </c>
      <c r="Y27" s="536">
        <f>H27+'AT-8A_Hon_CCH_UPry'!H26</f>
        <v>8.1280600000000049</v>
      </c>
      <c r="Z27" s="463">
        <v>437</v>
      </c>
      <c r="AA27" s="463"/>
      <c r="AC27" s="464"/>
      <c r="AD27" s="739"/>
      <c r="AG27" s="464"/>
      <c r="AH27" s="465"/>
      <c r="AI27" s="465"/>
      <c r="AK27" s="378"/>
      <c r="AL27" s="378"/>
      <c r="AM27" s="378"/>
      <c r="AN27" s="378"/>
      <c r="AO27" s="378"/>
      <c r="AP27" s="378"/>
      <c r="AQ27" s="378"/>
      <c r="AR27" s="378"/>
      <c r="AS27" s="378"/>
      <c r="AV27" s="378"/>
      <c r="AW27" s="378"/>
    </row>
    <row r="28" spans="1:49" ht="19.5" customHeight="1" x14ac:dyDescent="0.2">
      <c r="A28" s="272">
        <v>15</v>
      </c>
      <c r="B28" s="273" t="s">
        <v>910</v>
      </c>
      <c r="C28" s="368">
        <v>3918</v>
      </c>
      <c r="D28" s="368">
        <f t="shared" si="0"/>
        <v>3918</v>
      </c>
      <c r="E28" s="371">
        <f t="shared" si="1"/>
        <v>235.08</v>
      </c>
      <c r="F28" s="371">
        <f t="shared" si="2"/>
        <v>352.62</v>
      </c>
      <c r="G28" s="371">
        <f t="shared" si="3"/>
        <v>587.70000000000005</v>
      </c>
      <c r="H28" s="371">
        <v>0</v>
      </c>
      <c r="I28" s="371">
        <v>-178.3399</v>
      </c>
      <c r="J28" s="371">
        <f t="shared" si="4"/>
        <v>-178.3399</v>
      </c>
      <c r="K28" s="371">
        <v>351.1570099999999</v>
      </c>
      <c r="L28" s="371">
        <v>340.76717999999994</v>
      </c>
      <c r="M28" s="371">
        <f t="shared" si="5"/>
        <v>691.92418999999984</v>
      </c>
      <c r="N28" s="371">
        <f t="shared" si="6"/>
        <v>188.06399999999999</v>
      </c>
      <c r="O28" s="9">
        <f t="shared" si="7"/>
        <v>282.096</v>
      </c>
      <c r="P28" s="371">
        <f t="shared" si="8"/>
        <v>470.15999999999997</v>
      </c>
      <c r="Q28" s="371">
        <f t="shared" si="9"/>
        <v>163.09300999999991</v>
      </c>
      <c r="R28" s="371">
        <f t="shared" si="10"/>
        <v>-119.66872000000006</v>
      </c>
      <c r="S28" s="371">
        <f t="shared" si="11"/>
        <v>43.424289999999843</v>
      </c>
      <c r="T28" s="226" t="s">
        <v>1012</v>
      </c>
      <c r="U28" s="368">
        <f t="shared" si="12"/>
        <v>3918</v>
      </c>
      <c r="V28" s="368">
        <f t="shared" si="13"/>
        <v>3918</v>
      </c>
      <c r="X28" s="536">
        <f>I28+'AT-8A_Hon_CCH_UPry'!I27</f>
        <v>-178.3399</v>
      </c>
      <c r="Y28" s="536">
        <f>H28+'AT-8A_Hon_CCH_UPry'!H27</f>
        <v>0</v>
      </c>
      <c r="Z28" s="463">
        <v>1136</v>
      </c>
      <c r="AA28" s="463"/>
      <c r="AC28" s="464"/>
      <c r="AD28" s="739"/>
      <c r="AG28" s="464"/>
      <c r="AH28" s="465"/>
      <c r="AI28" s="465"/>
      <c r="AK28" s="378"/>
      <c r="AL28" s="378"/>
      <c r="AM28" s="378"/>
      <c r="AN28" s="378"/>
      <c r="AO28" s="378"/>
      <c r="AP28" s="378"/>
      <c r="AQ28" s="378"/>
      <c r="AR28" s="378"/>
      <c r="AS28" s="378"/>
      <c r="AV28" s="378"/>
      <c r="AW28" s="378"/>
    </row>
    <row r="29" spans="1:49" ht="19.5" customHeight="1" x14ac:dyDescent="0.2">
      <c r="A29" s="272">
        <v>16</v>
      </c>
      <c r="B29" s="273" t="s">
        <v>911</v>
      </c>
      <c r="C29" s="368">
        <v>6959</v>
      </c>
      <c r="D29" s="368">
        <f t="shared" si="0"/>
        <v>6959</v>
      </c>
      <c r="E29" s="371">
        <f t="shared" si="1"/>
        <v>417.54</v>
      </c>
      <c r="F29" s="371">
        <f t="shared" si="2"/>
        <v>626.30999999999995</v>
      </c>
      <c r="G29" s="371">
        <f t="shared" si="3"/>
        <v>1043.8499999999999</v>
      </c>
      <c r="H29" s="371">
        <v>126.02219000000002</v>
      </c>
      <c r="I29" s="371">
        <v>-272.28399999999999</v>
      </c>
      <c r="J29" s="371">
        <f t="shared" si="4"/>
        <v>-146.26180999999997</v>
      </c>
      <c r="K29" s="371">
        <v>291.51780999999994</v>
      </c>
      <c r="L29" s="371">
        <v>605.22308999999996</v>
      </c>
      <c r="M29" s="371">
        <f t="shared" si="5"/>
        <v>896.7408999999999</v>
      </c>
      <c r="N29" s="371">
        <f t="shared" si="6"/>
        <v>334.03199999999998</v>
      </c>
      <c r="O29" s="9">
        <f t="shared" si="7"/>
        <v>501.04799999999994</v>
      </c>
      <c r="P29" s="371">
        <f t="shared" si="8"/>
        <v>835.07999999999993</v>
      </c>
      <c r="Q29" s="371">
        <f t="shared" si="9"/>
        <v>83.507999999999981</v>
      </c>
      <c r="R29" s="371">
        <f t="shared" si="10"/>
        <v>-168.10890999999998</v>
      </c>
      <c r="S29" s="371">
        <f t="shared" si="11"/>
        <v>-84.600909999999999</v>
      </c>
      <c r="T29" s="226" t="s">
        <v>1012</v>
      </c>
      <c r="U29" s="368">
        <f t="shared" si="12"/>
        <v>6959</v>
      </c>
      <c r="V29" s="368">
        <f t="shared" si="13"/>
        <v>6959</v>
      </c>
      <c r="X29" s="536">
        <f>I29+'AT-8A_Hon_CCH_UPry'!I28</f>
        <v>-272.28399999999999</v>
      </c>
      <c r="Y29" s="536">
        <f>H29+'AT-8A_Hon_CCH_UPry'!H28</f>
        <v>126.02219000000002</v>
      </c>
      <c r="Z29" s="463">
        <v>2018</v>
      </c>
      <c r="AA29" s="463"/>
      <c r="AC29" s="464"/>
      <c r="AD29" s="739"/>
      <c r="AG29" s="464"/>
      <c r="AH29" s="465"/>
      <c r="AI29" s="465"/>
      <c r="AK29" s="378"/>
      <c r="AL29" s="378"/>
      <c r="AM29" s="378"/>
      <c r="AN29" s="378"/>
      <c r="AO29" s="378"/>
      <c r="AP29" s="378"/>
      <c r="AQ29" s="378"/>
      <c r="AR29" s="378"/>
      <c r="AS29" s="378"/>
      <c r="AV29" s="378"/>
      <c r="AW29" s="378"/>
    </row>
    <row r="30" spans="1:49" ht="19.5" customHeight="1" x14ac:dyDescent="0.2">
      <c r="A30" s="272">
        <v>17</v>
      </c>
      <c r="B30" s="273" t="s">
        <v>912</v>
      </c>
      <c r="C30" s="368">
        <v>3771</v>
      </c>
      <c r="D30" s="368">
        <f t="shared" si="0"/>
        <v>3771</v>
      </c>
      <c r="E30" s="371">
        <f t="shared" si="1"/>
        <v>226.26</v>
      </c>
      <c r="F30" s="371">
        <f t="shared" si="2"/>
        <v>339.39</v>
      </c>
      <c r="G30" s="371">
        <f t="shared" si="3"/>
        <v>565.65</v>
      </c>
      <c r="H30" s="371">
        <v>0</v>
      </c>
      <c r="I30" s="371">
        <v>-116.81349999999995</v>
      </c>
      <c r="J30" s="371">
        <f t="shared" si="4"/>
        <v>-116.81349999999995</v>
      </c>
      <c r="K30" s="371">
        <v>286.25824999999998</v>
      </c>
      <c r="L30" s="371">
        <v>327.90573000000001</v>
      </c>
      <c r="M30" s="371">
        <f t="shared" si="5"/>
        <v>614.16398000000004</v>
      </c>
      <c r="N30" s="371">
        <f t="shared" si="6"/>
        <v>181.00800000000001</v>
      </c>
      <c r="O30" s="9">
        <f t="shared" si="7"/>
        <v>271.512</v>
      </c>
      <c r="P30" s="371">
        <f t="shared" si="8"/>
        <v>452.52</v>
      </c>
      <c r="Q30" s="371">
        <f t="shared" si="9"/>
        <v>105.25024999999997</v>
      </c>
      <c r="R30" s="371">
        <f t="shared" si="10"/>
        <v>-60.419769999999943</v>
      </c>
      <c r="S30" s="371">
        <f t="shared" si="11"/>
        <v>44.830480000000023</v>
      </c>
      <c r="T30" s="226" t="s">
        <v>1012</v>
      </c>
      <c r="U30" s="368">
        <f t="shared" si="12"/>
        <v>3771</v>
      </c>
      <c r="V30" s="368">
        <f t="shared" si="13"/>
        <v>3771</v>
      </c>
      <c r="X30" s="536">
        <f>I30+'AT-8A_Hon_CCH_UPry'!I29</f>
        <v>-116.81349999999995</v>
      </c>
      <c r="Y30" s="536">
        <f>H30+'AT-8A_Hon_CCH_UPry'!H29</f>
        <v>0</v>
      </c>
      <c r="Z30" s="463">
        <v>1094</v>
      </c>
      <c r="AA30" s="463"/>
      <c r="AC30" s="464"/>
      <c r="AD30" s="739"/>
      <c r="AG30" s="464"/>
      <c r="AH30" s="465"/>
      <c r="AI30" s="465"/>
      <c r="AK30" s="378"/>
      <c r="AL30" s="378"/>
      <c r="AM30" s="378"/>
      <c r="AN30" s="378"/>
      <c r="AO30" s="378"/>
      <c r="AP30" s="378"/>
      <c r="AQ30" s="378"/>
      <c r="AR30" s="378"/>
      <c r="AS30" s="378"/>
      <c r="AV30" s="378"/>
      <c r="AW30" s="378"/>
    </row>
    <row r="31" spans="1:49" ht="19.5" customHeight="1" x14ac:dyDescent="0.2">
      <c r="A31" s="272">
        <v>18</v>
      </c>
      <c r="B31" s="273" t="s">
        <v>913</v>
      </c>
      <c r="C31" s="368">
        <v>3862</v>
      </c>
      <c r="D31" s="368">
        <f t="shared" si="0"/>
        <v>3862</v>
      </c>
      <c r="E31" s="371">
        <f t="shared" si="1"/>
        <v>231.72</v>
      </c>
      <c r="F31" s="371">
        <f t="shared" si="2"/>
        <v>347.58</v>
      </c>
      <c r="G31" s="371">
        <f t="shared" si="3"/>
        <v>579.29999999999995</v>
      </c>
      <c r="H31" s="371">
        <v>138.28105000000002</v>
      </c>
      <c r="I31" s="371">
        <v>-279.19289999999995</v>
      </c>
      <c r="J31" s="371">
        <f t="shared" si="4"/>
        <v>-140.91184999999993</v>
      </c>
      <c r="K31" s="371">
        <v>93.438950000000034</v>
      </c>
      <c r="L31" s="371">
        <v>335.86757999999998</v>
      </c>
      <c r="M31" s="371">
        <f t="shared" si="5"/>
        <v>429.30653000000001</v>
      </c>
      <c r="N31" s="371">
        <f t="shared" si="6"/>
        <v>185.376</v>
      </c>
      <c r="O31" s="9">
        <f t="shared" si="7"/>
        <v>278.06399999999996</v>
      </c>
      <c r="P31" s="371">
        <f t="shared" si="8"/>
        <v>463.43999999999994</v>
      </c>
      <c r="Q31" s="371">
        <f t="shared" si="9"/>
        <v>46.344000000000051</v>
      </c>
      <c r="R31" s="371">
        <f t="shared" si="10"/>
        <v>-221.38931999999994</v>
      </c>
      <c r="S31" s="371">
        <f t="shared" si="11"/>
        <v>-175.04531999999989</v>
      </c>
      <c r="T31" s="226" t="s">
        <v>1012</v>
      </c>
      <c r="U31" s="368">
        <f t="shared" si="12"/>
        <v>3862</v>
      </c>
      <c r="V31" s="368">
        <f t="shared" si="13"/>
        <v>3862</v>
      </c>
      <c r="X31" s="536">
        <f>I31+'AT-8A_Hon_CCH_UPry'!I30</f>
        <v>-279.19289999999995</v>
      </c>
      <c r="Y31" s="536">
        <f>H31+'AT-8A_Hon_CCH_UPry'!H30</f>
        <v>138.28105000000002</v>
      </c>
      <c r="Z31" s="463">
        <v>1120</v>
      </c>
      <c r="AA31" s="463"/>
      <c r="AC31" s="464"/>
      <c r="AD31" s="739"/>
      <c r="AG31" s="464"/>
      <c r="AH31" s="465"/>
      <c r="AI31" s="465"/>
      <c r="AK31" s="378"/>
      <c r="AL31" s="378"/>
      <c r="AM31" s="378"/>
      <c r="AN31" s="378"/>
      <c r="AO31" s="378"/>
      <c r="AP31" s="378"/>
      <c r="AQ31" s="378"/>
      <c r="AR31" s="378"/>
      <c r="AS31" s="378"/>
      <c r="AV31" s="378"/>
      <c r="AW31" s="378"/>
    </row>
    <row r="32" spans="1:49" ht="19.5" customHeight="1" x14ac:dyDescent="0.2">
      <c r="A32" s="272">
        <v>19</v>
      </c>
      <c r="B32" s="273" t="s">
        <v>914</v>
      </c>
      <c r="C32" s="368">
        <v>4640</v>
      </c>
      <c r="D32" s="368">
        <f t="shared" si="0"/>
        <v>4640</v>
      </c>
      <c r="E32" s="371">
        <f t="shared" si="1"/>
        <v>278.39999999999998</v>
      </c>
      <c r="F32" s="371">
        <f t="shared" si="2"/>
        <v>417.6</v>
      </c>
      <c r="G32" s="371">
        <f t="shared" si="3"/>
        <v>696</v>
      </c>
      <c r="H32" s="371">
        <v>153.03928000000002</v>
      </c>
      <c r="I32" s="371">
        <v>-36.29219999999998</v>
      </c>
      <c r="J32" s="371">
        <f t="shared" si="4"/>
        <v>116.74708000000004</v>
      </c>
      <c r="K32" s="371">
        <v>125.36071999999999</v>
      </c>
      <c r="L32" s="371">
        <v>403.48205999999993</v>
      </c>
      <c r="M32" s="371">
        <f t="shared" si="5"/>
        <v>528.84277999999995</v>
      </c>
      <c r="N32" s="371">
        <f t="shared" si="6"/>
        <v>222.72</v>
      </c>
      <c r="O32" s="9">
        <f t="shared" si="7"/>
        <v>334.08</v>
      </c>
      <c r="P32" s="371">
        <f t="shared" si="8"/>
        <v>556.79999999999995</v>
      </c>
      <c r="Q32" s="371">
        <f t="shared" si="9"/>
        <v>55.679999999999978</v>
      </c>
      <c r="R32" s="371">
        <f t="shared" si="10"/>
        <v>33.109859999999969</v>
      </c>
      <c r="S32" s="371">
        <f t="shared" si="11"/>
        <v>88.789859999999948</v>
      </c>
      <c r="T32" s="226" t="s">
        <v>1012</v>
      </c>
      <c r="U32" s="368">
        <f t="shared" si="12"/>
        <v>4640</v>
      </c>
      <c r="V32" s="368">
        <f t="shared" si="13"/>
        <v>4640</v>
      </c>
      <c r="X32" s="536">
        <f>I32+'AT-8A_Hon_CCH_UPry'!I31</f>
        <v>-36.29219999999998</v>
      </c>
      <c r="Y32" s="536">
        <f>H32+'AT-8A_Hon_CCH_UPry'!H31</f>
        <v>153.03928000000002</v>
      </c>
      <c r="Z32" s="463">
        <v>1346</v>
      </c>
      <c r="AA32" s="463"/>
      <c r="AC32" s="464"/>
      <c r="AD32" s="739"/>
      <c r="AG32" s="464"/>
      <c r="AH32" s="465"/>
      <c r="AI32" s="465"/>
      <c r="AK32" s="378"/>
      <c r="AL32" s="378"/>
      <c r="AM32" s="378"/>
      <c r="AN32" s="378"/>
      <c r="AO32" s="378"/>
      <c r="AP32" s="378"/>
      <c r="AQ32" s="378"/>
      <c r="AR32" s="378"/>
      <c r="AS32" s="378"/>
      <c r="AV32" s="378"/>
      <c r="AW32" s="378"/>
    </row>
    <row r="33" spans="1:49" ht="19.5" customHeight="1" x14ac:dyDescent="0.2">
      <c r="A33" s="272">
        <v>20</v>
      </c>
      <c r="B33" s="273" t="s">
        <v>915</v>
      </c>
      <c r="C33" s="368">
        <v>2202</v>
      </c>
      <c r="D33" s="368">
        <f t="shared" si="0"/>
        <v>2202</v>
      </c>
      <c r="E33" s="371">
        <f t="shared" si="1"/>
        <v>132.12</v>
      </c>
      <c r="F33" s="371">
        <f t="shared" si="2"/>
        <v>198.18</v>
      </c>
      <c r="G33" s="371">
        <f t="shared" si="3"/>
        <v>330.3</v>
      </c>
      <c r="H33" s="371">
        <v>47.55425000000001</v>
      </c>
      <c r="I33" s="371">
        <v>-92.546500000000066</v>
      </c>
      <c r="J33" s="371">
        <f t="shared" si="4"/>
        <v>-44.992250000000055</v>
      </c>
      <c r="K33" s="371">
        <v>84.565749999999994</v>
      </c>
      <c r="L33" s="371">
        <v>191.45187000000001</v>
      </c>
      <c r="M33" s="371">
        <f t="shared" si="5"/>
        <v>276.01762000000002</v>
      </c>
      <c r="N33" s="371">
        <f t="shared" si="6"/>
        <v>105.696</v>
      </c>
      <c r="O33" s="9">
        <f t="shared" si="7"/>
        <v>158.54399999999998</v>
      </c>
      <c r="P33" s="371">
        <f t="shared" si="8"/>
        <v>264.24</v>
      </c>
      <c r="Q33" s="371">
        <f t="shared" si="9"/>
        <v>26.424000000000007</v>
      </c>
      <c r="R33" s="371">
        <f t="shared" si="10"/>
        <v>-59.638630000000035</v>
      </c>
      <c r="S33" s="371">
        <f t="shared" si="11"/>
        <v>-33.214630000000028</v>
      </c>
      <c r="T33" s="226" t="s">
        <v>1012</v>
      </c>
      <c r="U33" s="368">
        <f t="shared" si="12"/>
        <v>2202</v>
      </c>
      <c r="V33" s="368">
        <f t="shared" si="13"/>
        <v>2202</v>
      </c>
      <c r="X33" s="536">
        <f>I33+'AT-8A_Hon_CCH_UPry'!I32</f>
        <v>-92.546500000000066</v>
      </c>
      <c r="Y33" s="536">
        <f>H33+'AT-8A_Hon_CCH_UPry'!H32</f>
        <v>47.55425000000001</v>
      </c>
      <c r="Z33" s="463">
        <v>639</v>
      </c>
      <c r="AA33" s="463"/>
      <c r="AC33" s="464"/>
      <c r="AD33" s="739"/>
      <c r="AG33" s="464"/>
      <c r="AH33" s="465"/>
      <c r="AI33" s="465"/>
      <c r="AK33" s="378"/>
      <c r="AL33" s="378"/>
      <c r="AM33" s="378"/>
      <c r="AN33" s="378"/>
      <c r="AO33" s="378"/>
      <c r="AP33" s="378"/>
      <c r="AQ33" s="378"/>
      <c r="AR33" s="378"/>
      <c r="AS33" s="378"/>
      <c r="AV33" s="378"/>
      <c r="AW33" s="378"/>
    </row>
    <row r="34" spans="1:49" ht="19.5" customHeight="1" x14ac:dyDescent="0.2">
      <c r="A34" s="272">
        <v>21</v>
      </c>
      <c r="B34" s="273" t="s">
        <v>916</v>
      </c>
      <c r="C34" s="368">
        <v>3185</v>
      </c>
      <c r="D34" s="368">
        <f t="shared" si="0"/>
        <v>3185</v>
      </c>
      <c r="E34" s="371">
        <f t="shared" si="1"/>
        <v>191.1</v>
      </c>
      <c r="F34" s="371">
        <f t="shared" si="2"/>
        <v>286.64999999999998</v>
      </c>
      <c r="G34" s="371">
        <f t="shared" si="3"/>
        <v>477.75</v>
      </c>
      <c r="H34" s="371">
        <v>153.82499999999999</v>
      </c>
      <c r="I34" s="371">
        <v>-148.17419999999998</v>
      </c>
      <c r="J34" s="371">
        <f t="shared" si="4"/>
        <v>5.6508000000000038</v>
      </c>
      <c r="K34" s="371">
        <v>37.274999999999977</v>
      </c>
      <c r="L34" s="371">
        <v>276.94988999999998</v>
      </c>
      <c r="M34" s="371">
        <f t="shared" si="5"/>
        <v>314.22488999999996</v>
      </c>
      <c r="N34" s="371">
        <f t="shared" si="6"/>
        <v>152.88</v>
      </c>
      <c r="O34" s="9">
        <f t="shared" si="7"/>
        <v>229.32</v>
      </c>
      <c r="P34" s="371">
        <f t="shared" si="8"/>
        <v>382.2</v>
      </c>
      <c r="Q34" s="371">
        <f t="shared" si="9"/>
        <v>38.21999999999997</v>
      </c>
      <c r="R34" s="371">
        <f t="shared" si="10"/>
        <v>-100.54431</v>
      </c>
      <c r="S34" s="371">
        <f t="shared" si="11"/>
        <v>-62.324310000000025</v>
      </c>
      <c r="T34" s="226" t="s">
        <v>1012</v>
      </c>
      <c r="U34" s="368">
        <f t="shared" si="12"/>
        <v>3185</v>
      </c>
      <c r="V34" s="368">
        <f t="shared" si="13"/>
        <v>3185</v>
      </c>
      <c r="X34" s="536">
        <f>I34+'AT-8A_Hon_CCH_UPry'!I33</f>
        <v>-148.17419999999998</v>
      </c>
      <c r="Y34" s="536">
        <f>H34+'AT-8A_Hon_CCH_UPry'!H33</f>
        <v>153.82499999999999</v>
      </c>
      <c r="Z34" s="463">
        <v>924</v>
      </c>
      <c r="AA34" s="463"/>
      <c r="AC34" s="464"/>
      <c r="AD34" s="739"/>
      <c r="AG34" s="464"/>
      <c r="AH34" s="465"/>
      <c r="AI34" s="465"/>
      <c r="AK34" s="378"/>
      <c r="AL34" s="378"/>
      <c r="AM34" s="378"/>
      <c r="AN34" s="378"/>
      <c r="AO34" s="378"/>
      <c r="AP34" s="378"/>
      <c r="AQ34" s="378"/>
      <c r="AR34" s="378"/>
      <c r="AS34" s="378"/>
      <c r="AV34" s="378"/>
      <c r="AW34" s="378"/>
    </row>
    <row r="35" spans="1:49" ht="19.5" customHeight="1" x14ac:dyDescent="0.2">
      <c r="A35" s="272">
        <v>22</v>
      </c>
      <c r="B35" s="273" t="s">
        <v>917</v>
      </c>
      <c r="C35" s="368">
        <v>2068</v>
      </c>
      <c r="D35" s="368">
        <f t="shared" si="0"/>
        <v>2068</v>
      </c>
      <c r="E35" s="371">
        <f t="shared" si="1"/>
        <v>124.08</v>
      </c>
      <c r="F35" s="371">
        <f t="shared" si="2"/>
        <v>186.12</v>
      </c>
      <c r="G35" s="371">
        <f t="shared" si="3"/>
        <v>310.2</v>
      </c>
      <c r="H35" s="371">
        <v>41.753039999999999</v>
      </c>
      <c r="I35" s="371">
        <v>-56.678100000000001</v>
      </c>
      <c r="J35" s="371">
        <f t="shared" si="4"/>
        <v>-14.925060000000002</v>
      </c>
      <c r="K35" s="371">
        <v>82.32696</v>
      </c>
      <c r="L35" s="371">
        <v>179.81531999999999</v>
      </c>
      <c r="M35" s="371">
        <f t="shared" si="5"/>
        <v>262.14227999999997</v>
      </c>
      <c r="N35" s="371">
        <f t="shared" si="6"/>
        <v>99.263999999999996</v>
      </c>
      <c r="O35" s="9">
        <f t="shared" si="7"/>
        <v>148.89599999999999</v>
      </c>
      <c r="P35" s="371">
        <f t="shared" si="8"/>
        <v>248.15999999999997</v>
      </c>
      <c r="Q35" s="371">
        <f t="shared" si="9"/>
        <v>24.816000000000003</v>
      </c>
      <c r="R35" s="371">
        <f t="shared" si="10"/>
        <v>-25.758780000000002</v>
      </c>
      <c r="S35" s="371">
        <f t="shared" si="11"/>
        <v>-0.94277999999999906</v>
      </c>
      <c r="T35" s="226" t="s">
        <v>1012</v>
      </c>
      <c r="U35" s="368">
        <f t="shared" si="12"/>
        <v>2068</v>
      </c>
      <c r="V35" s="368">
        <f t="shared" si="13"/>
        <v>2068</v>
      </c>
      <c r="X35" s="536">
        <f>I35+'AT-8A_Hon_CCH_UPry'!I34</f>
        <v>-56.678100000000001</v>
      </c>
      <c r="Y35" s="536">
        <f>H35+'AT-8A_Hon_CCH_UPry'!H34</f>
        <v>41.753039999999999</v>
      </c>
      <c r="Z35" s="463">
        <v>600</v>
      </c>
      <c r="AA35" s="463"/>
      <c r="AC35" s="464"/>
      <c r="AD35" s="739"/>
      <c r="AG35" s="464"/>
      <c r="AH35" s="465"/>
      <c r="AI35" s="465"/>
      <c r="AK35" s="378"/>
      <c r="AL35" s="378"/>
      <c r="AM35" s="378"/>
      <c r="AN35" s="378"/>
      <c r="AO35" s="378"/>
      <c r="AP35" s="378"/>
      <c r="AQ35" s="378"/>
      <c r="AR35" s="378"/>
      <c r="AS35" s="378"/>
      <c r="AV35" s="378"/>
      <c r="AW35" s="378"/>
    </row>
    <row r="36" spans="1:49" ht="19.5" customHeight="1" x14ac:dyDescent="0.2">
      <c r="A36" s="272">
        <v>23</v>
      </c>
      <c r="B36" s="273" t="s">
        <v>918</v>
      </c>
      <c r="C36" s="368">
        <v>3206</v>
      </c>
      <c r="D36" s="368">
        <f t="shared" si="0"/>
        <v>3206</v>
      </c>
      <c r="E36" s="371">
        <f t="shared" si="1"/>
        <v>192.36</v>
      </c>
      <c r="F36" s="371">
        <f t="shared" si="2"/>
        <v>288.54000000000002</v>
      </c>
      <c r="G36" s="371">
        <f t="shared" si="3"/>
        <v>480.90000000000003</v>
      </c>
      <c r="H36" s="371">
        <v>25.802960000000013</v>
      </c>
      <c r="I36" s="371">
        <v>-612.46499999999992</v>
      </c>
      <c r="J36" s="371">
        <f t="shared" si="4"/>
        <v>-586.66203999999993</v>
      </c>
      <c r="K36" s="371">
        <v>166.55704</v>
      </c>
      <c r="L36" s="371">
        <v>278.78724</v>
      </c>
      <c r="M36" s="371">
        <f t="shared" si="5"/>
        <v>445.34428000000003</v>
      </c>
      <c r="N36" s="371">
        <f t="shared" si="6"/>
        <v>153.88800000000001</v>
      </c>
      <c r="O36" s="9">
        <f t="shared" si="7"/>
        <v>230.83199999999999</v>
      </c>
      <c r="P36" s="371">
        <f t="shared" si="8"/>
        <v>384.72</v>
      </c>
      <c r="Q36" s="371">
        <f t="shared" si="9"/>
        <v>38.472000000000008</v>
      </c>
      <c r="R36" s="371">
        <f t="shared" si="10"/>
        <v>-564.50975999999991</v>
      </c>
      <c r="S36" s="371">
        <f t="shared" si="11"/>
        <v>-526.03775999999993</v>
      </c>
      <c r="T36" s="226" t="s">
        <v>1012</v>
      </c>
      <c r="U36" s="368">
        <f t="shared" si="12"/>
        <v>3206</v>
      </c>
      <c r="V36" s="368">
        <f t="shared" si="13"/>
        <v>3206</v>
      </c>
      <c r="X36" s="536">
        <f>I36+'AT-8A_Hon_CCH_UPry'!I35</f>
        <v>-612.46499999999992</v>
      </c>
      <c r="Y36" s="536">
        <f>H36+'AT-8A_Hon_CCH_UPry'!H35</f>
        <v>25.802960000000013</v>
      </c>
      <c r="Z36" s="463">
        <v>930</v>
      </c>
      <c r="AA36" s="463"/>
      <c r="AC36" s="464"/>
      <c r="AD36" s="739"/>
      <c r="AG36" s="464"/>
      <c r="AH36" s="465"/>
      <c r="AI36" s="465"/>
      <c r="AK36" s="378"/>
      <c r="AL36" s="378"/>
      <c r="AM36" s="378"/>
      <c r="AN36" s="378"/>
      <c r="AO36" s="378"/>
      <c r="AP36" s="378"/>
      <c r="AQ36" s="378"/>
      <c r="AR36" s="378"/>
      <c r="AS36" s="378"/>
      <c r="AV36" s="378"/>
      <c r="AW36" s="378"/>
    </row>
    <row r="37" spans="1:49" ht="19.5" customHeight="1" x14ac:dyDescent="0.2">
      <c r="A37" s="272">
        <v>24</v>
      </c>
      <c r="B37" s="274" t="s">
        <v>919</v>
      </c>
      <c r="C37" s="368">
        <v>4242</v>
      </c>
      <c r="D37" s="368">
        <f t="shared" si="0"/>
        <v>4242</v>
      </c>
      <c r="E37" s="371">
        <f t="shared" si="1"/>
        <v>254.52</v>
      </c>
      <c r="F37" s="371">
        <f t="shared" si="2"/>
        <v>381.78</v>
      </c>
      <c r="G37" s="371">
        <f t="shared" si="3"/>
        <v>636.29999999999995</v>
      </c>
      <c r="H37" s="371">
        <v>236.23960999999994</v>
      </c>
      <c r="I37" s="371">
        <v>-329.74752000000001</v>
      </c>
      <c r="J37" s="371">
        <f t="shared" si="4"/>
        <v>-93.507910000000066</v>
      </c>
      <c r="K37" s="371">
        <v>18.280390000000011</v>
      </c>
      <c r="L37" s="371">
        <v>368.93988000000002</v>
      </c>
      <c r="M37" s="371">
        <f t="shared" si="5"/>
        <v>387.22027000000003</v>
      </c>
      <c r="N37" s="371">
        <f t="shared" si="6"/>
        <v>203.61600000000001</v>
      </c>
      <c r="O37" s="9">
        <f t="shared" si="7"/>
        <v>305.42399999999998</v>
      </c>
      <c r="P37" s="371">
        <f t="shared" si="8"/>
        <v>509.03999999999996</v>
      </c>
      <c r="Q37" s="371">
        <f t="shared" si="9"/>
        <v>50.90399999999994</v>
      </c>
      <c r="R37" s="371">
        <f t="shared" si="10"/>
        <v>-266.23163999999997</v>
      </c>
      <c r="S37" s="371">
        <f t="shared" si="11"/>
        <v>-215.32764000000003</v>
      </c>
      <c r="T37" s="226" t="s">
        <v>1012</v>
      </c>
      <c r="U37" s="368">
        <f t="shared" si="12"/>
        <v>4242</v>
      </c>
      <c r="V37" s="368">
        <f t="shared" si="13"/>
        <v>4242</v>
      </c>
      <c r="X37" s="536">
        <f>I37+'AT-8A_Hon_CCH_UPry'!I36</f>
        <v>-329.74752000000001</v>
      </c>
      <c r="Y37" s="536">
        <f>H37+'AT-8A_Hon_CCH_UPry'!H36</f>
        <v>236.23960999999994</v>
      </c>
      <c r="Z37" s="463">
        <v>1230</v>
      </c>
      <c r="AA37" s="463"/>
      <c r="AC37" s="464"/>
      <c r="AD37" s="739"/>
      <c r="AG37" s="464"/>
      <c r="AH37" s="465"/>
      <c r="AI37" s="465"/>
      <c r="AK37" s="378"/>
      <c r="AL37" s="378"/>
      <c r="AM37" s="378"/>
      <c r="AN37" s="378"/>
      <c r="AO37" s="378"/>
      <c r="AP37" s="378"/>
      <c r="AQ37" s="378"/>
      <c r="AR37" s="378"/>
      <c r="AS37" s="378"/>
      <c r="AV37" s="378"/>
      <c r="AW37" s="378"/>
    </row>
    <row r="38" spans="1:49" s="14" customFormat="1" ht="19.5" customHeight="1" x14ac:dyDescent="0.25">
      <c r="A38" s="802" t="s">
        <v>18</v>
      </c>
      <c r="B38" s="802"/>
      <c r="C38" s="310">
        <f>SUM(C14:C37)</f>
        <v>79591</v>
      </c>
      <c r="D38" s="310">
        <f t="shared" ref="D38:V38" si="14">SUM(D14:D37)</f>
        <v>79591</v>
      </c>
      <c r="E38" s="315">
        <f t="shared" si="14"/>
        <v>4775.46</v>
      </c>
      <c r="F38" s="315">
        <f t="shared" si="14"/>
        <v>7163.1900000000005</v>
      </c>
      <c r="G38" s="315">
        <f t="shared" si="14"/>
        <v>11938.649999999998</v>
      </c>
      <c r="H38" s="710">
        <f t="shared" si="14"/>
        <v>1456.52109</v>
      </c>
      <c r="I38" s="315">
        <f t="shared" si="14"/>
        <v>-3852.2793769999989</v>
      </c>
      <c r="J38" s="315">
        <f t="shared" si="14"/>
        <v>-2395.7582869999997</v>
      </c>
      <c r="K38" s="315">
        <f t="shared" si="14"/>
        <v>3318.9380100000003</v>
      </c>
      <c r="L38" s="315">
        <f t="shared" si="14"/>
        <v>6923.4202799999994</v>
      </c>
      <c r="M38" s="315">
        <f t="shared" si="14"/>
        <v>10242.35829</v>
      </c>
      <c r="N38" s="315">
        <f t="shared" si="14"/>
        <v>3820.3679999999999</v>
      </c>
      <c r="O38" s="315">
        <f>SUM(O14:O37)</f>
        <v>5730.5519999999988</v>
      </c>
      <c r="P38" s="315">
        <f t="shared" si="14"/>
        <v>9550.9199999999983</v>
      </c>
      <c r="Q38" s="315">
        <f t="shared" si="14"/>
        <v>955.09109999999987</v>
      </c>
      <c r="R38" s="315">
        <f>SUM(R14:R37)</f>
        <v>-2659.4110969999992</v>
      </c>
      <c r="S38" s="315">
        <f t="shared" si="14"/>
        <v>-1704.3199969999996</v>
      </c>
      <c r="T38" s="315"/>
      <c r="U38" s="310">
        <f t="shared" si="14"/>
        <v>79591</v>
      </c>
      <c r="V38" s="310">
        <f t="shared" si="14"/>
        <v>79591</v>
      </c>
      <c r="X38" s="536">
        <f>SUM(X14:X37)</f>
        <v>-3852.2793769999989</v>
      </c>
      <c r="Y38" s="548">
        <f>SUM(Y14:Y37)</f>
        <v>1456.52109</v>
      </c>
      <c r="Z38" s="466">
        <f>SUM(Z14:Z37)</f>
        <v>23082</v>
      </c>
      <c r="AA38" s="466"/>
      <c r="AB38" s="298"/>
      <c r="AC38" s="467"/>
      <c r="AD38" s="739"/>
      <c r="AE38" s="298"/>
      <c r="AF38" s="298"/>
      <c r="AG38" s="467"/>
      <c r="AH38" s="468"/>
      <c r="AI38" s="468"/>
      <c r="AJ38" s="298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78"/>
      <c r="AW38" s="378"/>
    </row>
    <row r="39" spans="1:49" s="385" customFormat="1" ht="14.25" customHeight="1" x14ac:dyDescent="0.2">
      <c r="A39" s="697"/>
      <c r="AD39" s="739"/>
      <c r="AV39" s="536"/>
      <c r="AW39" s="536"/>
    </row>
    <row r="40" spans="1:49" s="462" customFormat="1" x14ac:dyDescent="0.2">
      <c r="A40" s="820" t="s">
        <v>1129</v>
      </c>
      <c r="B40" s="820"/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464">
        <f>Q38+'AT-8A_Hon_CCH_UPry'!Q37</f>
        <v>955.09109999999987</v>
      </c>
      <c r="R40" s="464">
        <f>R38+'AT-8A_Hon_CCH_UPry'!R37</f>
        <v>-2659.4110969999992</v>
      </c>
      <c r="S40" s="464">
        <f>S38+'AT-8A_Hon_CCH_UPry'!S37</f>
        <v>-1704.3199969999996</v>
      </c>
      <c r="T40" s="464">
        <f>T38+'AT-8A_Hon_CCH_UPry'!T37</f>
        <v>0</v>
      </c>
      <c r="U40" s="464">
        <f>U38+'AT-8A_Hon_CCH_UPry'!U37</f>
        <v>79591</v>
      </c>
      <c r="V40" s="464">
        <f>V38+'AT-8A_Hon_CCH_UPry'!V37</f>
        <v>79591</v>
      </c>
      <c r="AD40" s="739"/>
      <c r="AU40" s="464"/>
      <c r="AV40" s="464"/>
      <c r="AW40" s="464"/>
    </row>
    <row r="41" spans="1:49" s="385" customFormat="1" x14ac:dyDescent="0.2">
      <c r="A41" s="14"/>
      <c r="B41" s="14" t="s">
        <v>1130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AD41" s="739"/>
    </row>
    <row r="42" spans="1:49" x14ac:dyDescent="0.2">
      <c r="AD42" s="739"/>
    </row>
    <row r="43" spans="1:49" ht="12.75" customHeight="1" x14ac:dyDescent="0.2">
      <c r="A43" s="14" t="s">
        <v>11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803" t="s">
        <v>12</v>
      </c>
      <c r="Q43" s="803"/>
      <c r="U43" s="14"/>
      <c r="AD43" s="530"/>
    </row>
    <row r="44" spans="1:49" ht="12.75" customHeight="1" x14ac:dyDescent="0.2">
      <c r="A44" s="803" t="s">
        <v>13</v>
      </c>
      <c r="B44" s="803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AD44" s="530"/>
    </row>
    <row r="45" spans="1:49" ht="12.75" customHeight="1" x14ac:dyDescent="0.2">
      <c r="A45" s="803" t="s">
        <v>19</v>
      </c>
      <c r="B45" s="803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</row>
    <row r="46" spans="1:49" x14ac:dyDescent="0.2">
      <c r="O46" s="853" t="s">
        <v>84</v>
      </c>
      <c r="P46" s="853"/>
      <c r="Q46" s="853"/>
    </row>
    <row r="50" spans="2:6" hidden="1" x14ac:dyDescent="0.2"/>
    <row r="51" spans="2:6" hidden="1" x14ac:dyDescent="0.2"/>
    <row r="52" spans="2:6" hidden="1" x14ac:dyDescent="0.2"/>
    <row r="53" spans="2:6" hidden="1" x14ac:dyDescent="0.2"/>
    <row r="54" spans="2:6" hidden="1" x14ac:dyDescent="0.2">
      <c r="C54" t="s">
        <v>1011</v>
      </c>
      <c r="D54" t="s">
        <v>1007</v>
      </c>
      <c r="E54" t="s">
        <v>1008</v>
      </c>
    </row>
    <row r="55" spans="2:6" hidden="1" x14ac:dyDescent="0.2">
      <c r="B55" s="520" t="s">
        <v>1044</v>
      </c>
      <c r="C55" s="523">
        <v>4982</v>
      </c>
      <c r="D55" s="523">
        <v>3537</v>
      </c>
      <c r="E55" s="523">
        <v>1445</v>
      </c>
      <c r="F55" s="523">
        <v>4982</v>
      </c>
    </row>
    <row r="56" spans="2:6" hidden="1" x14ac:dyDescent="0.2">
      <c r="B56" s="520" t="s">
        <v>1045</v>
      </c>
      <c r="C56" s="523">
        <v>1627</v>
      </c>
      <c r="D56" s="523">
        <v>1155</v>
      </c>
      <c r="E56" s="523">
        <v>472</v>
      </c>
      <c r="F56" s="523">
        <v>1627</v>
      </c>
    </row>
    <row r="57" spans="2:6" hidden="1" x14ac:dyDescent="0.2">
      <c r="B57" s="520" t="s">
        <v>1046</v>
      </c>
      <c r="C57" s="523">
        <v>1205</v>
      </c>
      <c r="D57" s="523">
        <v>856</v>
      </c>
      <c r="E57" s="523">
        <v>349</v>
      </c>
      <c r="F57" s="523">
        <v>1205</v>
      </c>
    </row>
    <row r="58" spans="2:6" hidden="1" x14ac:dyDescent="0.2">
      <c r="B58" s="520" t="s">
        <v>1047</v>
      </c>
      <c r="C58" s="523"/>
      <c r="D58" s="523"/>
      <c r="E58" s="523"/>
      <c r="F58" s="523"/>
    </row>
    <row r="59" spans="2:6" hidden="1" x14ac:dyDescent="0.2">
      <c r="B59" s="520" t="s">
        <v>1048</v>
      </c>
      <c r="C59" s="523"/>
      <c r="D59" s="523"/>
      <c r="E59" s="523"/>
      <c r="F59" s="523"/>
    </row>
    <row r="60" spans="2:6" hidden="1" x14ac:dyDescent="0.2">
      <c r="B60" s="520" t="s">
        <v>1049</v>
      </c>
      <c r="C60" s="523"/>
      <c r="D60" s="523"/>
      <c r="E60" s="523"/>
      <c r="F60" s="523"/>
    </row>
    <row r="61" spans="2:6" hidden="1" x14ac:dyDescent="0.2">
      <c r="B61" s="520" t="s">
        <v>1050</v>
      </c>
      <c r="C61" s="523"/>
      <c r="D61" s="523"/>
      <c r="E61" s="523"/>
      <c r="F61" s="523"/>
    </row>
    <row r="62" spans="2:6" hidden="1" x14ac:dyDescent="0.2">
      <c r="B62" s="520" t="s">
        <v>1051</v>
      </c>
      <c r="C62" s="523"/>
      <c r="D62" s="523"/>
      <c r="E62" s="523"/>
      <c r="F62" s="523"/>
    </row>
    <row r="63" spans="2:6" hidden="1" x14ac:dyDescent="0.2">
      <c r="B63" s="520" t="s">
        <v>1052</v>
      </c>
      <c r="C63" s="523">
        <v>5569</v>
      </c>
      <c r="D63" s="523">
        <v>3954</v>
      </c>
      <c r="E63" s="523">
        <v>1615</v>
      </c>
      <c r="F63" s="523">
        <v>5569</v>
      </c>
    </row>
    <row r="64" spans="2:6" hidden="1" x14ac:dyDescent="0.2">
      <c r="B64" s="520" t="s">
        <v>1053</v>
      </c>
      <c r="C64" s="523">
        <v>2421</v>
      </c>
      <c r="D64" s="523">
        <v>1719</v>
      </c>
      <c r="E64" s="523">
        <v>702</v>
      </c>
      <c r="F64" s="523">
        <v>2421</v>
      </c>
    </row>
    <row r="65" spans="2:6" hidden="1" x14ac:dyDescent="0.2">
      <c r="B65" s="520" t="s">
        <v>1054</v>
      </c>
      <c r="C65" s="523">
        <v>3429</v>
      </c>
      <c r="D65" s="523">
        <v>2435</v>
      </c>
      <c r="E65" s="523">
        <v>994</v>
      </c>
      <c r="F65" s="523">
        <v>3429</v>
      </c>
    </row>
    <row r="66" spans="2:6" hidden="1" x14ac:dyDescent="0.2">
      <c r="B66" s="520" t="s">
        <v>1055</v>
      </c>
      <c r="C66" s="523"/>
      <c r="D66" s="523"/>
      <c r="E66" s="523"/>
      <c r="F66" s="523"/>
    </row>
    <row r="67" spans="2:6" hidden="1" x14ac:dyDescent="0.2">
      <c r="B67" s="520" t="s">
        <v>1056</v>
      </c>
      <c r="C67" s="523">
        <v>1704</v>
      </c>
      <c r="D67" s="523">
        <v>1210</v>
      </c>
      <c r="E67" s="523">
        <v>494</v>
      </c>
      <c r="F67" s="523">
        <v>1704</v>
      </c>
    </row>
    <row r="68" spans="2:6" hidden="1" x14ac:dyDescent="0.2">
      <c r="B68" s="520" t="s">
        <v>1057</v>
      </c>
      <c r="C68" s="523">
        <v>1506</v>
      </c>
      <c r="D68" s="523">
        <v>1069</v>
      </c>
      <c r="E68" s="523">
        <v>437</v>
      </c>
      <c r="F68" s="523">
        <v>1506</v>
      </c>
    </row>
    <row r="69" spans="2:6" hidden="1" x14ac:dyDescent="0.2">
      <c r="B69" s="520" t="s">
        <v>1058</v>
      </c>
      <c r="C69" s="523">
        <v>3918</v>
      </c>
      <c r="D69" s="523">
        <v>2782</v>
      </c>
      <c r="E69" s="523">
        <v>1136</v>
      </c>
      <c r="F69" s="523">
        <v>3918</v>
      </c>
    </row>
    <row r="70" spans="2:6" hidden="1" x14ac:dyDescent="0.2">
      <c r="B70" s="520" t="s">
        <v>1059</v>
      </c>
      <c r="C70" s="523">
        <v>6959</v>
      </c>
      <c r="D70" s="523">
        <v>4941</v>
      </c>
      <c r="E70" s="523">
        <v>2018</v>
      </c>
      <c r="F70" s="523">
        <v>6959</v>
      </c>
    </row>
    <row r="71" spans="2:6" hidden="1" x14ac:dyDescent="0.2">
      <c r="B71" s="520" t="s">
        <v>1060</v>
      </c>
      <c r="C71" s="523">
        <v>3771</v>
      </c>
      <c r="D71" s="523">
        <v>2677</v>
      </c>
      <c r="E71" s="523">
        <v>1094</v>
      </c>
      <c r="F71" s="523">
        <v>3771</v>
      </c>
    </row>
    <row r="72" spans="2:6" hidden="1" x14ac:dyDescent="0.2">
      <c r="B72" s="520" t="s">
        <v>1061</v>
      </c>
      <c r="C72" s="523">
        <v>3862</v>
      </c>
      <c r="D72" s="523">
        <v>2742</v>
      </c>
      <c r="E72" s="523">
        <v>1120</v>
      </c>
      <c r="F72" s="523">
        <v>3862</v>
      </c>
    </row>
    <row r="73" spans="2:6" hidden="1" x14ac:dyDescent="0.2">
      <c r="B73" s="520" t="s">
        <v>1062</v>
      </c>
      <c r="C73" s="523">
        <v>4640</v>
      </c>
      <c r="D73" s="523">
        <v>3294</v>
      </c>
      <c r="E73" s="523">
        <v>1346</v>
      </c>
      <c r="F73" s="523">
        <v>4640</v>
      </c>
    </row>
    <row r="74" spans="2:6" hidden="1" x14ac:dyDescent="0.2">
      <c r="B74" s="520" t="s">
        <v>1063</v>
      </c>
      <c r="C74" s="523">
        <v>2202</v>
      </c>
      <c r="D74" s="523">
        <v>1563</v>
      </c>
      <c r="E74" s="523">
        <v>639</v>
      </c>
      <c r="F74" s="523">
        <v>2202</v>
      </c>
    </row>
    <row r="75" spans="2:6" hidden="1" x14ac:dyDescent="0.2">
      <c r="B75" s="520" t="s">
        <v>1064</v>
      </c>
      <c r="C75" s="523">
        <v>3185</v>
      </c>
      <c r="D75" s="523">
        <v>2261</v>
      </c>
      <c r="E75" s="523">
        <v>924</v>
      </c>
      <c r="F75" s="523">
        <v>3185</v>
      </c>
    </row>
    <row r="76" spans="2:6" hidden="1" x14ac:dyDescent="0.2">
      <c r="B76" s="520" t="s">
        <v>1065</v>
      </c>
      <c r="C76" s="523">
        <v>2068</v>
      </c>
      <c r="D76" s="523">
        <v>1468</v>
      </c>
      <c r="E76" s="523">
        <v>600</v>
      </c>
      <c r="F76" s="523">
        <v>2068</v>
      </c>
    </row>
    <row r="77" spans="2:6" hidden="1" x14ac:dyDescent="0.2">
      <c r="B77" s="520" t="s">
        <v>1066</v>
      </c>
      <c r="C77" s="523">
        <v>3206</v>
      </c>
      <c r="D77" s="523">
        <v>2276</v>
      </c>
      <c r="E77" s="523">
        <v>930</v>
      </c>
      <c r="F77" s="523">
        <v>3206</v>
      </c>
    </row>
    <row r="78" spans="2:6" hidden="1" x14ac:dyDescent="0.2">
      <c r="B78" s="520" t="s">
        <v>1067</v>
      </c>
      <c r="C78" s="523">
        <v>4242</v>
      </c>
      <c r="D78" s="523">
        <v>3012</v>
      </c>
      <c r="E78" s="523">
        <v>1230</v>
      </c>
      <c r="F78" s="523">
        <v>4242</v>
      </c>
    </row>
    <row r="79" spans="2:6" hidden="1" x14ac:dyDescent="0.2">
      <c r="C79" s="523">
        <f>SUM(C55:C78)</f>
        <v>60496</v>
      </c>
      <c r="D79" s="523">
        <f>SUM(D55:D78)</f>
        <v>42951</v>
      </c>
      <c r="E79" s="523">
        <f>SUM(E55:E78)</f>
        <v>17545</v>
      </c>
      <c r="F79" s="523">
        <f>SUM(F55:F78)</f>
        <v>60496</v>
      </c>
    </row>
    <row r="80" spans="2:6" hidden="1" x14ac:dyDescent="0.2"/>
    <row r="82" spans="1:25" ht="16.5" x14ac:dyDescent="0.2">
      <c r="A82" s="12"/>
      <c r="B82" s="974"/>
      <c r="C82" s="974"/>
      <c r="D82" s="974"/>
      <c r="E82" s="974"/>
      <c r="F82" s="974"/>
      <c r="G82" s="974"/>
      <c r="H82" s="974"/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S82" s="974"/>
      <c r="T82" s="974"/>
      <c r="U82" s="974"/>
      <c r="V82" s="974"/>
      <c r="W82" s="12"/>
    </row>
    <row r="83" spans="1:2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5" ht="1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732"/>
      <c r="U85" s="732"/>
      <c r="V85" s="732"/>
      <c r="W85" s="732"/>
      <c r="X85" s="40"/>
      <c r="Y85" s="40"/>
    </row>
    <row r="86" spans="1:2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5" ht="15.75" x14ac:dyDescent="0.25">
      <c r="A87" s="971"/>
      <c r="B87" s="971"/>
      <c r="C87" s="971"/>
      <c r="D87" s="971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12"/>
      <c r="U87" s="12"/>
      <c r="V87" s="12"/>
      <c r="W87" s="12"/>
    </row>
    <row r="88" spans="1:25" ht="15.75" x14ac:dyDescent="0.25">
      <c r="A88" s="733"/>
      <c r="B88" s="674"/>
      <c r="C88" s="674"/>
      <c r="D88" s="674"/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12"/>
      <c r="Q88" s="137"/>
      <c r="R88" s="137"/>
      <c r="S88" s="137"/>
      <c r="T88" s="12"/>
      <c r="U88" s="941"/>
      <c r="V88" s="941"/>
      <c r="W88" s="12"/>
    </row>
    <row r="89" spans="1:2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927"/>
      <c r="Q89" s="927"/>
      <c r="R89" s="927"/>
      <c r="S89" s="927"/>
      <c r="T89" s="927"/>
      <c r="U89" s="927"/>
      <c r="V89" s="927"/>
      <c r="W89" s="12"/>
    </row>
    <row r="90" spans="1:25" x14ac:dyDescent="0.2">
      <c r="A90" s="972"/>
      <c r="B90" s="972"/>
      <c r="C90" s="972"/>
      <c r="D90" s="972"/>
      <c r="E90" s="973"/>
      <c r="F90" s="973"/>
      <c r="G90" s="973"/>
      <c r="H90" s="972"/>
      <c r="I90" s="972"/>
      <c r="J90" s="972"/>
      <c r="K90" s="972"/>
      <c r="L90" s="972"/>
      <c r="M90" s="972"/>
      <c r="N90" s="973"/>
      <c r="O90" s="973"/>
      <c r="P90" s="973"/>
      <c r="Q90" s="972"/>
      <c r="R90" s="972"/>
      <c r="S90" s="972"/>
      <c r="T90" s="972"/>
      <c r="U90" s="972"/>
      <c r="V90" s="972"/>
      <c r="W90" s="12"/>
    </row>
    <row r="91" spans="1:25" x14ac:dyDescent="0.2">
      <c r="A91" s="972"/>
      <c r="B91" s="972"/>
      <c r="C91" s="972"/>
      <c r="D91" s="972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972"/>
      <c r="U91" s="972"/>
      <c r="V91" s="972"/>
      <c r="W91" s="12"/>
    </row>
    <row r="92" spans="1:25" x14ac:dyDescent="0.2">
      <c r="A92" s="734"/>
      <c r="B92" s="735"/>
      <c r="C92" s="736"/>
      <c r="D92" s="735"/>
      <c r="E92" s="735"/>
      <c r="F92" s="736"/>
      <c r="G92" s="735"/>
      <c r="H92" s="735"/>
      <c r="I92" s="736"/>
      <c r="J92" s="735"/>
      <c r="K92" s="735"/>
      <c r="L92" s="736"/>
      <c r="M92" s="735"/>
      <c r="N92" s="735"/>
      <c r="O92" s="736"/>
      <c r="P92" s="735"/>
      <c r="Q92" s="735"/>
      <c r="R92" s="736"/>
      <c r="S92" s="735"/>
      <c r="T92" s="735"/>
      <c r="U92" s="736"/>
      <c r="V92" s="735"/>
      <c r="W92" s="12"/>
    </row>
    <row r="93" spans="1:25" ht="15" x14ac:dyDescent="0.2">
      <c r="A93" s="666"/>
      <c r="B93" s="737"/>
      <c r="C93" s="738"/>
      <c r="D93" s="738"/>
      <c r="E93" s="739"/>
      <c r="F93" s="739"/>
      <c r="G93" s="739"/>
      <c r="H93" s="739"/>
      <c r="I93" s="739"/>
      <c r="J93" s="739"/>
      <c r="K93" s="739"/>
      <c r="L93" s="739"/>
      <c r="M93" s="739"/>
      <c r="N93" s="739"/>
      <c r="O93" s="739"/>
      <c r="P93" s="739"/>
      <c r="Q93" s="739"/>
      <c r="R93" s="739"/>
      <c r="S93" s="739"/>
      <c r="T93" s="740"/>
      <c r="U93" s="738"/>
      <c r="V93" s="738"/>
      <c r="W93" s="12"/>
    </row>
    <row r="94" spans="1:25" ht="15" x14ac:dyDescent="0.2">
      <c r="A94" s="666"/>
      <c r="B94" s="737"/>
      <c r="C94" s="738"/>
      <c r="D94" s="738"/>
      <c r="E94" s="739"/>
      <c r="F94" s="739"/>
      <c r="G94" s="739"/>
      <c r="H94" s="739"/>
      <c r="I94" s="739"/>
      <c r="J94" s="739"/>
      <c r="K94" s="739"/>
      <c r="L94" s="739"/>
      <c r="M94" s="739"/>
      <c r="N94" s="739"/>
      <c r="O94" s="739"/>
      <c r="P94" s="739"/>
      <c r="Q94" s="739"/>
      <c r="R94" s="739"/>
      <c r="S94" s="739"/>
      <c r="T94" s="740"/>
      <c r="U94" s="738"/>
      <c r="V94" s="738"/>
      <c r="W94" s="12"/>
    </row>
    <row r="95" spans="1:25" ht="15" x14ac:dyDescent="0.2">
      <c r="A95" s="666"/>
      <c r="B95" s="737"/>
      <c r="C95" s="738"/>
      <c r="D95" s="738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739"/>
      <c r="S95" s="739"/>
      <c r="T95" s="740"/>
      <c r="U95" s="738"/>
      <c r="V95" s="738"/>
      <c r="W95" s="12"/>
    </row>
    <row r="96" spans="1:25" ht="15" x14ac:dyDescent="0.2">
      <c r="A96" s="666"/>
      <c r="B96" s="737"/>
      <c r="C96" s="738"/>
      <c r="D96" s="738"/>
      <c r="E96" s="739"/>
      <c r="F96" s="739"/>
      <c r="G96" s="739"/>
      <c r="H96" s="739"/>
      <c r="I96" s="739"/>
      <c r="J96" s="739"/>
      <c r="K96" s="739"/>
      <c r="L96" s="739"/>
      <c r="M96" s="739"/>
      <c r="N96" s="739"/>
      <c r="O96" s="739"/>
      <c r="P96" s="739"/>
      <c r="Q96" s="739"/>
      <c r="R96" s="739"/>
      <c r="S96" s="739"/>
      <c r="T96" s="740"/>
      <c r="U96" s="738"/>
      <c r="V96" s="738"/>
      <c r="W96" s="12"/>
    </row>
    <row r="97" spans="1:23" ht="15" x14ac:dyDescent="0.2">
      <c r="A97" s="666"/>
      <c r="B97" s="737"/>
      <c r="C97" s="738"/>
      <c r="D97" s="738"/>
      <c r="E97" s="739"/>
      <c r="F97" s="739"/>
      <c r="G97" s="739"/>
      <c r="H97" s="739"/>
      <c r="I97" s="739"/>
      <c r="J97" s="739"/>
      <c r="K97" s="739"/>
      <c r="L97" s="739"/>
      <c r="M97" s="739"/>
      <c r="N97" s="739"/>
      <c r="O97" s="739"/>
      <c r="P97" s="739"/>
      <c r="Q97" s="739"/>
      <c r="R97" s="739"/>
      <c r="S97" s="739"/>
      <c r="T97" s="740"/>
      <c r="U97" s="738"/>
      <c r="V97" s="738"/>
      <c r="W97" s="12"/>
    </row>
    <row r="98" spans="1:23" ht="15" x14ac:dyDescent="0.2">
      <c r="A98" s="666"/>
      <c r="B98" s="737"/>
      <c r="C98" s="738"/>
      <c r="D98" s="738"/>
      <c r="E98" s="739"/>
      <c r="F98" s="739"/>
      <c r="G98" s="739"/>
      <c r="H98" s="739"/>
      <c r="I98" s="739"/>
      <c r="J98" s="739"/>
      <c r="K98" s="739"/>
      <c r="L98" s="739"/>
      <c r="M98" s="739"/>
      <c r="N98" s="739"/>
      <c r="O98" s="739"/>
      <c r="P98" s="739"/>
      <c r="Q98" s="739"/>
      <c r="R98" s="739"/>
      <c r="S98" s="739"/>
      <c r="T98" s="740"/>
      <c r="U98" s="738"/>
      <c r="V98" s="738"/>
      <c r="W98" s="12"/>
    </row>
    <row r="99" spans="1:23" ht="15" x14ac:dyDescent="0.2">
      <c r="A99" s="666"/>
      <c r="B99" s="737"/>
      <c r="C99" s="738"/>
      <c r="D99" s="738"/>
      <c r="E99" s="739"/>
      <c r="F99" s="739"/>
      <c r="G99" s="739"/>
      <c r="H99" s="739"/>
      <c r="I99" s="739"/>
      <c r="J99" s="739"/>
      <c r="K99" s="739"/>
      <c r="L99" s="739"/>
      <c r="M99" s="739"/>
      <c r="N99" s="739"/>
      <c r="O99" s="739"/>
      <c r="P99" s="739"/>
      <c r="Q99" s="739"/>
      <c r="R99" s="739"/>
      <c r="S99" s="739"/>
      <c r="T99" s="740"/>
      <c r="U99" s="738"/>
      <c r="V99" s="738"/>
      <c r="W99" s="12"/>
    </row>
    <row r="100" spans="1:23" ht="15" x14ac:dyDescent="0.2">
      <c r="A100" s="666"/>
      <c r="B100" s="737"/>
      <c r="C100" s="738"/>
      <c r="D100" s="738"/>
      <c r="E100" s="739"/>
      <c r="F100" s="739"/>
      <c r="G100" s="739"/>
      <c r="H100" s="739"/>
      <c r="I100" s="739"/>
      <c r="J100" s="739"/>
      <c r="K100" s="739"/>
      <c r="L100" s="739"/>
      <c r="M100" s="739"/>
      <c r="N100" s="739"/>
      <c r="O100" s="739"/>
      <c r="P100" s="739"/>
      <c r="Q100" s="739"/>
      <c r="R100" s="739"/>
      <c r="S100" s="739"/>
      <c r="T100" s="740"/>
      <c r="U100" s="738"/>
      <c r="V100" s="738"/>
      <c r="W100" s="12"/>
    </row>
    <row r="101" spans="1:23" ht="15" x14ac:dyDescent="0.2">
      <c r="A101" s="666"/>
      <c r="B101" s="737"/>
      <c r="C101" s="738"/>
      <c r="D101" s="738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39"/>
      <c r="P101" s="739"/>
      <c r="Q101" s="739"/>
      <c r="R101" s="739"/>
      <c r="S101" s="739"/>
      <c r="T101" s="740"/>
      <c r="U101" s="738"/>
      <c r="V101" s="738"/>
      <c r="W101" s="12"/>
    </row>
    <row r="102" spans="1:23" ht="15" x14ac:dyDescent="0.2">
      <c r="A102" s="666"/>
      <c r="B102" s="737"/>
      <c r="C102" s="738"/>
      <c r="D102" s="738"/>
      <c r="E102" s="739"/>
      <c r="F102" s="739"/>
      <c r="G102" s="739"/>
      <c r="H102" s="739"/>
      <c r="I102" s="739"/>
      <c r="J102" s="739"/>
      <c r="K102" s="739"/>
      <c r="L102" s="739"/>
      <c r="M102" s="739"/>
      <c r="N102" s="739"/>
      <c r="O102" s="739"/>
      <c r="P102" s="739"/>
      <c r="Q102" s="739"/>
      <c r="R102" s="739"/>
      <c r="S102" s="739"/>
      <c r="T102" s="740"/>
      <c r="U102" s="738"/>
      <c r="V102" s="738"/>
      <c r="W102" s="12"/>
    </row>
    <row r="103" spans="1:23" ht="15" x14ac:dyDescent="0.2">
      <c r="A103" s="666"/>
      <c r="B103" s="737"/>
      <c r="C103" s="738"/>
      <c r="D103" s="738"/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  <c r="Q103" s="739"/>
      <c r="R103" s="739"/>
      <c r="S103" s="739"/>
      <c r="T103" s="740"/>
      <c r="U103" s="738"/>
      <c r="V103" s="738"/>
      <c r="W103" s="12"/>
    </row>
    <row r="104" spans="1:23" ht="15" x14ac:dyDescent="0.2">
      <c r="A104" s="666"/>
      <c r="B104" s="737"/>
      <c r="C104" s="738"/>
      <c r="D104" s="738"/>
      <c r="E104" s="739"/>
      <c r="F104" s="739"/>
      <c r="G104" s="739"/>
      <c r="H104" s="739"/>
      <c r="I104" s="739"/>
      <c r="J104" s="739"/>
      <c r="K104" s="739"/>
      <c r="L104" s="739"/>
      <c r="M104" s="739"/>
      <c r="N104" s="739"/>
      <c r="O104" s="739"/>
      <c r="P104" s="739"/>
      <c r="Q104" s="739"/>
      <c r="R104" s="739"/>
      <c r="S104" s="739"/>
      <c r="T104" s="740"/>
      <c r="U104" s="738"/>
      <c r="V104" s="738"/>
      <c r="W104" s="12"/>
    </row>
    <row r="105" spans="1:23" ht="15" x14ac:dyDescent="0.2">
      <c r="A105" s="666"/>
      <c r="B105" s="737"/>
      <c r="C105" s="738"/>
      <c r="D105" s="738"/>
      <c r="E105" s="739"/>
      <c r="F105" s="739"/>
      <c r="G105" s="739"/>
      <c r="H105" s="739"/>
      <c r="I105" s="739"/>
      <c r="J105" s="739"/>
      <c r="K105" s="739"/>
      <c r="L105" s="739"/>
      <c r="M105" s="739"/>
      <c r="N105" s="739"/>
      <c r="O105" s="739"/>
      <c r="P105" s="739"/>
      <c r="Q105" s="739"/>
      <c r="R105" s="739"/>
      <c r="S105" s="739"/>
      <c r="T105" s="740"/>
      <c r="U105" s="738"/>
      <c r="V105" s="738"/>
      <c r="W105" s="12"/>
    </row>
    <row r="106" spans="1:23" ht="15" x14ac:dyDescent="0.2">
      <c r="A106" s="666"/>
      <c r="B106" s="737"/>
      <c r="C106" s="738"/>
      <c r="D106" s="738"/>
      <c r="E106" s="739"/>
      <c r="F106" s="739"/>
      <c r="G106" s="739"/>
      <c r="H106" s="739"/>
      <c r="I106" s="739"/>
      <c r="J106" s="739"/>
      <c r="K106" s="739"/>
      <c r="L106" s="739"/>
      <c r="M106" s="739"/>
      <c r="N106" s="739"/>
      <c r="O106" s="739"/>
      <c r="P106" s="739"/>
      <c r="Q106" s="739"/>
      <c r="R106" s="739"/>
      <c r="S106" s="739"/>
      <c r="T106" s="740"/>
      <c r="U106" s="738"/>
      <c r="V106" s="738"/>
      <c r="W106" s="12"/>
    </row>
    <row r="107" spans="1:23" ht="15" x14ac:dyDescent="0.2">
      <c r="A107" s="666"/>
      <c r="B107" s="737"/>
      <c r="C107" s="738"/>
      <c r="D107" s="738"/>
      <c r="E107" s="739"/>
      <c r="F107" s="739"/>
      <c r="G107" s="739"/>
      <c r="H107" s="739"/>
      <c r="I107" s="739"/>
      <c r="J107" s="739"/>
      <c r="K107" s="739"/>
      <c r="L107" s="739"/>
      <c r="M107" s="739"/>
      <c r="N107" s="739"/>
      <c r="O107" s="739"/>
      <c r="P107" s="739"/>
      <c r="Q107" s="739"/>
      <c r="R107" s="739"/>
      <c r="S107" s="739"/>
      <c r="T107" s="740"/>
      <c r="U107" s="738"/>
      <c r="V107" s="738"/>
      <c r="W107" s="12"/>
    </row>
    <row r="108" spans="1:23" ht="15" x14ac:dyDescent="0.2">
      <c r="A108" s="666"/>
      <c r="B108" s="737"/>
      <c r="C108" s="738"/>
      <c r="D108" s="738"/>
      <c r="E108" s="739"/>
      <c r="F108" s="739"/>
      <c r="G108" s="739"/>
      <c r="H108" s="739"/>
      <c r="I108" s="739"/>
      <c r="J108" s="739"/>
      <c r="K108" s="739"/>
      <c r="L108" s="739"/>
      <c r="M108" s="739"/>
      <c r="N108" s="739"/>
      <c r="O108" s="739"/>
      <c r="P108" s="739"/>
      <c r="Q108" s="739"/>
      <c r="R108" s="739"/>
      <c r="S108" s="739"/>
      <c r="T108" s="740"/>
      <c r="U108" s="738"/>
      <c r="V108" s="738"/>
      <c r="W108" s="12"/>
    </row>
    <row r="109" spans="1:23" ht="15" x14ac:dyDescent="0.2">
      <c r="A109" s="666"/>
      <c r="B109" s="737"/>
      <c r="C109" s="738"/>
      <c r="D109" s="738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40"/>
      <c r="U109" s="738"/>
      <c r="V109" s="738"/>
      <c r="W109" s="12"/>
    </row>
    <row r="110" spans="1:23" ht="15" x14ac:dyDescent="0.2">
      <c r="A110" s="666"/>
      <c r="B110" s="737"/>
      <c r="C110" s="738"/>
      <c r="D110" s="738"/>
      <c r="E110" s="739"/>
      <c r="F110" s="739"/>
      <c r="G110" s="739"/>
      <c r="H110" s="739"/>
      <c r="I110" s="739"/>
      <c r="J110" s="739"/>
      <c r="K110" s="739"/>
      <c r="L110" s="739"/>
      <c r="M110" s="739"/>
      <c r="N110" s="739"/>
      <c r="O110" s="739"/>
      <c r="P110" s="739"/>
      <c r="Q110" s="739"/>
      <c r="R110" s="739"/>
      <c r="S110" s="739"/>
      <c r="T110" s="740"/>
      <c r="U110" s="738"/>
      <c r="V110" s="738"/>
      <c r="W110" s="12"/>
    </row>
    <row r="111" spans="1:23" ht="15" x14ac:dyDescent="0.2">
      <c r="A111" s="666"/>
      <c r="B111" s="737"/>
      <c r="C111" s="738"/>
      <c r="D111" s="738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739"/>
      <c r="Q111" s="739"/>
      <c r="R111" s="739"/>
      <c r="S111" s="739"/>
      <c r="T111" s="740"/>
      <c r="U111" s="738"/>
      <c r="V111" s="738"/>
      <c r="W111" s="12"/>
    </row>
    <row r="112" spans="1:23" ht="15" x14ac:dyDescent="0.2">
      <c r="A112" s="666"/>
      <c r="B112" s="737"/>
      <c r="C112" s="738"/>
      <c r="D112" s="738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39"/>
      <c r="P112" s="739"/>
      <c r="Q112" s="739"/>
      <c r="R112" s="739"/>
      <c r="S112" s="739"/>
      <c r="T112" s="740"/>
      <c r="U112" s="738"/>
      <c r="V112" s="738"/>
      <c r="W112" s="12"/>
    </row>
    <row r="113" spans="1:23" ht="15" x14ac:dyDescent="0.2">
      <c r="A113" s="666"/>
      <c r="B113" s="737"/>
      <c r="C113" s="738"/>
      <c r="D113" s="738"/>
      <c r="E113" s="739"/>
      <c r="F113" s="739"/>
      <c r="G113" s="739"/>
      <c r="H113" s="739"/>
      <c r="I113" s="739"/>
      <c r="J113" s="739"/>
      <c r="K113" s="739"/>
      <c r="L113" s="739"/>
      <c r="M113" s="739"/>
      <c r="N113" s="739"/>
      <c r="O113" s="739"/>
      <c r="P113" s="739"/>
      <c r="Q113" s="739"/>
      <c r="R113" s="739"/>
      <c r="S113" s="739"/>
      <c r="T113" s="740"/>
      <c r="U113" s="738"/>
      <c r="V113" s="738"/>
      <c r="W113" s="12"/>
    </row>
    <row r="114" spans="1:23" ht="15" x14ac:dyDescent="0.2">
      <c r="A114" s="666"/>
      <c r="B114" s="737"/>
      <c r="C114" s="738"/>
      <c r="D114" s="738"/>
      <c r="E114" s="739"/>
      <c r="F114" s="739"/>
      <c r="G114" s="739"/>
      <c r="H114" s="739"/>
      <c r="I114" s="739"/>
      <c r="J114" s="739"/>
      <c r="K114" s="739"/>
      <c r="L114" s="739"/>
      <c r="M114" s="739"/>
      <c r="N114" s="739"/>
      <c r="O114" s="739"/>
      <c r="P114" s="739"/>
      <c r="Q114" s="739"/>
      <c r="R114" s="739"/>
      <c r="S114" s="739"/>
      <c r="T114" s="740"/>
      <c r="U114" s="738"/>
      <c r="V114" s="738"/>
      <c r="W114" s="12"/>
    </row>
    <row r="115" spans="1:23" ht="15" x14ac:dyDescent="0.2">
      <c r="A115" s="666"/>
      <c r="B115" s="737"/>
      <c r="C115" s="738"/>
      <c r="D115" s="738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39"/>
      <c r="P115" s="739"/>
      <c r="Q115" s="739"/>
      <c r="R115" s="739"/>
      <c r="S115" s="739"/>
      <c r="T115" s="740"/>
      <c r="U115" s="738"/>
      <c r="V115" s="738"/>
      <c r="W115" s="12"/>
    </row>
    <row r="116" spans="1:23" ht="15" x14ac:dyDescent="0.2">
      <c r="A116" s="666"/>
      <c r="B116" s="394"/>
      <c r="C116" s="738"/>
      <c r="D116" s="738"/>
      <c r="E116" s="739"/>
      <c r="F116" s="739"/>
      <c r="G116" s="739"/>
      <c r="H116" s="739"/>
      <c r="I116" s="739"/>
      <c r="J116" s="739"/>
      <c r="K116" s="739"/>
      <c r="L116" s="739"/>
      <c r="M116" s="739"/>
      <c r="N116" s="739"/>
      <c r="O116" s="739"/>
      <c r="P116" s="739"/>
      <c r="Q116" s="739"/>
      <c r="R116" s="739"/>
      <c r="S116" s="739"/>
      <c r="T116" s="740"/>
      <c r="U116" s="738"/>
      <c r="V116" s="738"/>
      <c r="W116" s="12"/>
    </row>
    <row r="117" spans="1:23" ht="15" x14ac:dyDescent="0.25">
      <c r="A117" s="969"/>
      <c r="B117" s="969"/>
      <c r="C117" s="391"/>
      <c r="D117" s="391"/>
      <c r="E117" s="393"/>
      <c r="F117" s="393"/>
      <c r="G117" s="393"/>
      <c r="H117" s="742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1"/>
      <c r="V117" s="391"/>
      <c r="W117" s="12"/>
    </row>
    <row r="118" spans="1:23" x14ac:dyDescent="0.2">
      <c r="A118" s="743"/>
      <c r="B118" s="743"/>
      <c r="C118" s="743"/>
      <c r="D118" s="743"/>
      <c r="E118" s="743"/>
      <c r="F118" s="743"/>
      <c r="G118" s="743"/>
      <c r="H118" s="743"/>
      <c r="I118" s="743"/>
      <c r="J118" s="743"/>
      <c r="K118" s="743"/>
      <c r="L118" s="743"/>
      <c r="M118" s="743"/>
      <c r="N118" s="743"/>
      <c r="O118" s="743"/>
      <c r="P118" s="743"/>
      <c r="Q118" s="743"/>
      <c r="R118" s="743"/>
      <c r="S118" s="743"/>
      <c r="T118" s="743"/>
      <c r="U118" s="743"/>
      <c r="V118" s="743"/>
      <c r="W118" s="12"/>
    </row>
    <row r="119" spans="1:23" x14ac:dyDescent="0.2">
      <c r="A119" s="863"/>
      <c r="B119" s="863"/>
      <c r="C119" s="863"/>
      <c r="D119" s="863"/>
      <c r="E119" s="863"/>
      <c r="F119" s="863"/>
      <c r="G119" s="863"/>
      <c r="H119" s="863"/>
      <c r="I119" s="863"/>
      <c r="J119" s="863"/>
      <c r="K119" s="863"/>
      <c r="L119" s="863"/>
      <c r="M119" s="863"/>
      <c r="N119" s="863"/>
      <c r="O119" s="863"/>
      <c r="P119" s="863"/>
      <c r="Q119" s="744"/>
      <c r="R119" s="744"/>
      <c r="S119" s="744"/>
      <c r="T119" s="744"/>
      <c r="U119" s="744"/>
      <c r="V119" s="744"/>
      <c r="W119" s="12"/>
    </row>
    <row r="120" spans="1:23" x14ac:dyDescent="0.2">
      <c r="A120" s="28"/>
      <c r="B120" s="28"/>
      <c r="C120" s="743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12"/>
    </row>
    <row r="121" spans="1:23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0"/>
      <c r="O122" s="20"/>
      <c r="P122" s="970"/>
      <c r="Q122" s="970"/>
      <c r="R122" s="12"/>
      <c r="S122" s="12"/>
      <c r="T122" s="12"/>
      <c r="U122" s="28"/>
      <c r="V122" s="12"/>
      <c r="W122" s="12"/>
    </row>
    <row r="123" spans="1:23" x14ac:dyDescent="0.2">
      <c r="A123" s="970"/>
      <c r="B123" s="970"/>
      <c r="C123" s="970"/>
      <c r="D123" s="970"/>
      <c r="E123" s="970"/>
      <c r="F123" s="970"/>
      <c r="G123" s="970"/>
      <c r="H123" s="970"/>
      <c r="I123" s="970"/>
      <c r="J123" s="970"/>
      <c r="K123" s="970"/>
      <c r="L123" s="970"/>
      <c r="M123" s="970"/>
      <c r="N123" s="970"/>
      <c r="O123" s="970"/>
      <c r="P123" s="970"/>
      <c r="Q123" s="970"/>
      <c r="R123" s="12"/>
      <c r="S123" s="12"/>
      <c r="T123" s="12"/>
      <c r="U123" s="12"/>
      <c r="V123" s="12"/>
      <c r="W123" s="12"/>
    </row>
    <row r="124" spans="1:23" x14ac:dyDescent="0.2">
      <c r="A124" s="970"/>
      <c r="B124" s="970"/>
      <c r="C124" s="970"/>
      <c r="D124" s="970"/>
      <c r="E124" s="970"/>
      <c r="F124" s="970"/>
      <c r="G124" s="970"/>
      <c r="H124" s="970"/>
      <c r="I124" s="970"/>
      <c r="J124" s="970"/>
      <c r="K124" s="970"/>
      <c r="L124" s="970"/>
      <c r="M124" s="970"/>
      <c r="N124" s="970"/>
      <c r="O124" s="970"/>
      <c r="P124" s="970"/>
      <c r="Q124" s="970"/>
      <c r="R124" s="12"/>
      <c r="S124" s="12"/>
      <c r="T124" s="12"/>
      <c r="U124" s="12"/>
      <c r="V124" s="12"/>
      <c r="W124" s="12"/>
    </row>
    <row r="125" spans="1:23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969"/>
      <c r="P125" s="969"/>
      <c r="Q125" s="969"/>
      <c r="R125" s="12"/>
      <c r="S125" s="12"/>
      <c r="T125" s="12"/>
      <c r="U125" s="12"/>
      <c r="V125" s="12"/>
      <c r="W125" s="12"/>
    </row>
    <row r="126" spans="1:23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</sheetData>
  <mergeCells count="47">
    <mergeCell ref="Q1:V1"/>
    <mergeCell ref="A4:P4"/>
    <mergeCell ref="A3:Q3"/>
    <mergeCell ref="T11:T12"/>
    <mergeCell ref="A5:Q5"/>
    <mergeCell ref="A8:S8"/>
    <mergeCell ref="V11:V12"/>
    <mergeCell ref="U11:U12"/>
    <mergeCell ref="U9:V9"/>
    <mergeCell ref="E11:G11"/>
    <mergeCell ref="A11:A12"/>
    <mergeCell ref="D11:D12"/>
    <mergeCell ref="B82:V82"/>
    <mergeCell ref="A38:B38"/>
    <mergeCell ref="A40:P40"/>
    <mergeCell ref="P10:V10"/>
    <mergeCell ref="C11:C12"/>
    <mergeCell ref="Q11:S11"/>
    <mergeCell ref="K11:M11"/>
    <mergeCell ref="O46:Q46"/>
    <mergeCell ref="P43:Q43"/>
    <mergeCell ref="A44:Q44"/>
    <mergeCell ref="A45:Q45"/>
    <mergeCell ref="H11:J11"/>
    <mergeCell ref="B11:B12"/>
    <mergeCell ref="N11:P11"/>
    <mergeCell ref="A87:S87"/>
    <mergeCell ref="U88:V88"/>
    <mergeCell ref="P89:V89"/>
    <mergeCell ref="A90:A91"/>
    <mergeCell ref="B90:B91"/>
    <mergeCell ref="C90:C91"/>
    <mergeCell ref="D90:D91"/>
    <mergeCell ref="E90:G90"/>
    <mergeCell ref="H90:J90"/>
    <mergeCell ref="K90:M90"/>
    <mergeCell ref="N90:P90"/>
    <mergeCell ref="Q90:S90"/>
    <mergeCell ref="T90:T91"/>
    <mergeCell ref="U90:U91"/>
    <mergeCell ref="V90:V91"/>
    <mergeCell ref="O125:Q125"/>
    <mergeCell ref="A117:B117"/>
    <mergeCell ref="A119:P119"/>
    <mergeCell ref="P122:Q122"/>
    <mergeCell ref="A123:Q123"/>
    <mergeCell ref="A124:Q124"/>
  </mergeCells>
  <printOptions horizontalCentered="1"/>
  <pageMargins left="0.31" right="0.16" top="0.23622047244094491" bottom="0" header="0.31496062992125984" footer="0.31496062992125984"/>
  <pageSetup paperSize="9" scale="5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1:AA45"/>
  <sheetViews>
    <sheetView topLeftCell="A10" zoomScale="80" zoomScaleNormal="80" zoomScaleSheetLayoutView="85" workbookViewId="0">
      <selection activeCell="C13" sqref="C13:V37"/>
    </sheetView>
  </sheetViews>
  <sheetFormatPr defaultRowHeight="12.75" x14ac:dyDescent="0.2"/>
  <cols>
    <col min="2" max="2" width="17.85546875" bestFit="1" customWidth="1"/>
    <col min="3" max="3" width="14.7109375" customWidth="1"/>
    <col min="4" max="4" width="11.140625" customWidth="1"/>
    <col min="5" max="7" width="10.5703125" customWidth="1"/>
    <col min="8" max="10" width="10.28515625" customWidth="1"/>
    <col min="17" max="17" width="9.28515625" bestFit="1" customWidth="1"/>
    <col min="18" max="19" width="10" bestFit="1" customWidth="1"/>
    <col min="20" max="20" width="11.5703125" customWidth="1"/>
    <col min="21" max="21" width="11.140625" customWidth="1"/>
    <col min="22" max="22" width="11.85546875" customWidth="1"/>
  </cols>
  <sheetData>
    <row r="1" spans="1:27" ht="15" x14ac:dyDescent="0.2">
      <c r="Q1" s="978" t="s">
        <v>199</v>
      </c>
      <c r="R1" s="978"/>
      <c r="S1" s="978"/>
      <c r="T1" s="978"/>
      <c r="U1" s="978"/>
      <c r="V1" s="978"/>
    </row>
    <row r="3" spans="1:27" ht="15" x14ac:dyDescent="0.2">
      <c r="A3" s="930" t="s">
        <v>0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</row>
    <row r="4" spans="1:27" ht="20.25" x14ac:dyDescent="0.3">
      <c r="A4" s="872" t="s">
        <v>740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41"/>
    </row>
    <row r="5" spans="1:27" ht="15.75" x14ac:dyDescent="0.25">
      <c r="A5" s="986" t="s">
        <v>926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  <c r="P5" s="986"/>
      <c r="Q5" s="986"/>
    </row>
    <row r="6" spans="1:27" x14ac:dyDescent="0.2">
      <c r="A6" s="33"/>
      <c r="B6" s="33"/>
      <c r="C6" s="137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7" spans="1:27" ht="15.75" x14ac:dyDescent="0.25">
      <c r="A7" s="852" t="s">
        <v>812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</row>
    <row r="8" spans="1:27" ht="15.75" x14ac:dyDescent="0.25">
      <c r="A8" s="44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980" t="s">
        <v>217</v>
      </c>
      <c r="Q8" s="980"/>
      <c r="R8" s="980"/>
      <c r="S8" s="980"/>
      <c r="T8" s="980"/>
      <c r="U8" s="980"/>
      <c r="V8" s="980"/>
    </row>
    <row r="9" spans="1:27" x14ac:dyDescent="0.2">
      <c r="P9" s="921" t="s">
        <v>830</v>
      </c>
      <c r="Q9" s="921"/>
      <c r="R9" s="921"/>
      <c r="S9" s="921"/>
      <c r="T9" s="921"/>
      <c r="U9" s="921"/>
      <c r="V9" s="921"/>
    </row>
    <row r="10" spans="1:27" ht="28.5" customHeight="1" x14ac:dyDescent="0.2">
      <c r="A10" s="981" t="s">
        <v>25</v>
      </c>
      <c r="B10" s="818" t="s">
        <v>197</v>
      </c>
      <c r="C10" s="818" t="s">
        <v>366</v>
      </c>
      <c r="D10" s="818" t="s">
        <v>470</v>
      </c>
      <c r="E10" s="854" t="s">
        <v>855</v>
      </c>
      <c r="F10" s="854"/>
      <c r="G10" s="854"/>
      <c r="H10" s="827" t="s">
        <v>822</v>
      </c>
      <c r="I10" s="828"/>
      <c r="J10" s="829"/>
      <c r="K10" s="966" t="s">
        <v>368</v>
      </c>
      <c r="L10" s="967"/>
      <c r="M10" s="968"/>
      <c r="N10" s="975" t="s">
        <v>151</v>
      </c>
      <c r="O10" s="976"/>
      <c r="P10" s="977"/>
      <c r="Q10" s="834" t="s">
        <v>856</v>
      </c>
      <c r="R10" s="834"/>
      <c r="S10" s="834"/>
      <c r="T10" s="818" t="s">
        <v>239</v>
      </c>
      <c r="U10" s="818" t="s">
        <v>420</v>
      </c>
      <c r="V10" s="818" t="s">
        <v>369</v>
      </c>
    </row>
    <row r="11" spans="1:27" ht="69" customHeight="1" x14ac:dyDescent="0.2">
      <c r="A11" s="982"/>
      <c r="B11" s="819"/>
      <c r="C11" s="819"/>
      <c r="D11" s="819"/>
      <c r="E11" s="5" t="s">
        <v>173</v>
      </c>
      <c r="F11" s="5" t="s">
        <v>198</v>
      </c>
      <c r="G11" s="5" t="s">
        <v>18</v>
      </c>
      <c r="H11" s="5" t="s">
        <v>173</v>
      </c>
      <c r="I11" s="5" t="s">
        <v>198</v>
      </c>
      <c r="J11" s="5" t="s">
        <v>18</v>
      </c>
      <c r="K11" s="5" t="s">
        <v>173</v>
      </c>
      <c r="L11" s="5" t="s">
        <v>198</v>
      </c>
      <c r="M11" s="5" t="s">
        <v>18</v>
      </c>
      <c r="N11" s="5" t="s">
        <v>173</v>
      </c>
      <c r="O11" s="5" t="s">
        <v>198</v>
      </c>
      <c r="P11" s="5" t="s">
        <v>18</v>
      </c>
      <c r="Q11" s="5" t="s">
        <v>227</v>
      </c>
      <c r="R11" s="5" t="s">
        <v>209</v>
      </c>
      <c r="S11" s="5" t="s">
        <v>210</v>
      </c>
      <c r="T11" s="819"/>
      <c r="U11" s="819"/>
      <c r="V11" s="819"/>
    </row>
    <row r="12" spans="1:27" x14ac:dyDescent="0.2">
      <c r="A12" s="136">
        <v>1</v>
      </c>
      <c r="B12" s="96">
        <v>2</v>
      </c>
      <c r="C12" s="8">
        <v>3</v>
      </c>
      <c r="D12" s="136">
        <v>4</v>
      </c>
      <c r="E12" s="96">
        <v>5</v>
      </c>
      <c r="F12" s="8">
        <v>6</v>
      </c>
      <c r="G12" s="136">
        <v>7</v>
      </c>
      <c r="H12" s="96">
        <v>8</v>
      </c>
      <c r="I12" s="8">
        <v>9</v>
      </c>
      <c r="J12" s="136">
        <v>10</v>
      </c>
      <c r="K12" s="96">
        <v>11</v>
      </c>
      <c r="L12" s="8">
        <v>12</v>
      </c>
      <c r="M12" s="136">
        <v>13</v>
      </c>
      <c r="N12" s="96">
        <v>14</v>
      </c>
      <c r="O12" s="8">
        <v>15</v>
      </c>
      <c r="P12" s="136">
        <v>16</v>
      </c>
      <c r="Q12" s="96">
        <v>17</v>
      </c>
      <c r="R12" s="8">
        <v>18</v>
      </c>
      <c r="S12" s="136">
        <v>19</v>
      </c>
      <c r="T12" s="96">
        <v>20</v>
      </c>
      <c r="U12" s="136">
        <v>21</v>
      </c>
      <c r="V12" s="96">
        <v>22</v>
      </c>
    </row>
    <row r="13" spans="1:27" ht="14.25" x14ac:dyDescent="0.2">
      <c r="A13" s="50">
        <v>1</v>
      </c>
      <c r="B13" s="271" t="s">
        <v>896</v>
      </c>
      <c r="C13" s="985" t="s">
        <v>1126</v>
      </c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5"/>
      <c r="R13" s="985"/>
      <c r="S13" s="985"/>
      <c r="T13" s="985"/>
      <c r="U13" s="985"/>
      <c r="V13" s="985"/>
      <c r="X13" s="523" t="e">
        <f>C13+'AT-8_Hon_CCH_Pry'!C14</f>
        <v>#VALUE!</v>
      </c>
      <c r="Z13" s="378">
        <f>N13+'AT-8_Hon_CCH_Pry'!N14</f>
        <v>239.136</v>
      </c>
      <c r="AA13" s="378">
        <f>O13+'AT-8_Hon_CCH_Pry'!AD19</f>
        <v>0</v>
      </c>
    </row>
    <row r="14" spans="1:27" ht="14.25" x14ac:dyDescent="0.2">
      <c r="A14" s="50">
        <v>2</v>
      </c>
      <c r="B14" s="271" t="s">
        <v>897</v>
      </c>
      <c r="C14" s="985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  <c r="R14" s="985"/>
      <c r="S14" s="985"/>
      <c r="T14" s="985"/>
      <c r="U14" s="985"/>
      <c r="V14" s="985"/>
      <c r="X14" s="523">
        <f>C14+'AT-8_Hon_CCH_Pry'!C15</f>
        <v>1627</v>
      </c>
      <c r="Z14" s="378">
        <f>N14+'AT-8_Hon_CCH_Pry'!N15</f>
        <v>78.096000000000004</v>
      </c>
      <c r="AA14" s="378">
        <f>O14+'AT-8_Hon_CCH_Pry'!AD20</f>
        <v>0</v>
      </c>
    </row>
    <row r="15" spans="1:27" ht="14.25" x14ac:dyDescent="0.2">
      <c r="A15" s="50">
        <v>3</v>
      </c>
      <c r="B15" s="271" t="s">
        <v>898</v>
      </c>
      <c r="C15" s="985"/>
      <c r="D15" s="985"/>
      <c r="E15" s="985"/>
      <c r="F15" s="985"/>
      <c r="G15" s="985"/>
      <c r="H15" s="985"/>
      <c r="I15" s="985"/>
      <c r="J15" s="985"/>
      <c r="K15" s="985"/>
      <c r="L15" s="985"/>
      <c r="M15" s="985"/>
      <c r="N15" s="985"/>
      <c r="O15" s="985"/>
      <c r="P15" s="985"/>
      <c r="Q15" s="985"/>
      <c r="R15" s="985"/>
      <c r="S15" s="985"/>
      <c r="T15" s="985"/>
      <c r="U15" s="985"/>
      <c r="V15" s="985"/>
      <c r="X15" s="523">
        <f>C15+'AT-8_Hon_CCH_Pry'!C16</f>
        <v>1205</v>
      </c>
      <c r="Z15" s="378">
        <f>N15+'AT-8_Hon_CCH_Pry'!N16</f>
        <v>57.84</v>
      </c>
      <c r="AA15" s="378">
        <f>O15+'AT-8_Hon_CCH_Pry'!AD21</f>
        <v>0</v>
      </c>
    </row>
    <row r="16" spans="1:27" ht="14.25" x14ac:dyDescent="0.2">
      <c r="A16" s="50">
        <v>4</v>
      </c>
      <c r="B16" s="271" t="s">
        <v>899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X16" s="523">
        <f>C16+'AT-8_Hon_CCH_Pry'!C17</f>
        <v>3686</v>
      </c>
      <c r="Z16" s="378">
        <f>N16+'AT-8_Hon_CCH_Pry'!N17</f>
        <v>176.928</v>
      </c>
      <c r="AA16" s="378">
        <f>O16+'AT-8_Hon_CCH_Pry'!AD22</f>
        <v>0</v>
      </c>
    </row>
    <row r="17" spans="1:27" ht="14.25" x14ac:dyDescent="0.2">
      <c r="A17" s="50">
        <v>5</v>
      </c>
      <c r="B17" s="271" t="s">
        <v>900</v>
      </c>
      <c r="C17" s="985"/>
      <c r="D17" s="985"/>
      <c r="E17" s="985"/>
      <c r="F17" s="985"/>
      <c r="G17" s="985"/>
      <c r="H17" s="985"/>
      <c r="I17" s="985"/>
      <c r="J17" s="985"/>
      <c r="K17" s="985"/>
      <c r="L17" s="985"/>
      <c r="M17" s="985"/>
      <c r="N17" s="985"/>
      <c r="O17" s="985"/>
      <c r="P17" s="985"/>
      <c r="Q17" s="985"/>
      <c r="R17" s="985"/>
      <c r="S17" s="985"/>
      <c r="T17" s="985"/>
      <c r="U17" s="985"/>
      <c r="V17" s="985"/>
      <c r="X17" s="523">
        <f>C17+'AT-8_Hon_CCH_Pry'!C18</f>
        <v>2093</v>
      </c>
      <c r="Z17" s="378">
        <f>N17+'AT-8_Hon_CCH_Pry'!N18</f>
        <v>100.464</v>
      </c>
      <c r="AA17" s="378">
        <f>O17+'AT-8_Hon_CCH_Pry'!AD23</f>
        <v>0</v>
      </c>
    </row>
    <row r="18" spans="1:27" ht="14.25" x14ac:dyDescent="0.2">
      <c r="A18" s="50">
        <v>6</v>
      </c>
      <c r="B18" s="271" t="s">
        <v>901</v>
      </c>
      <c r="C18" s="985"/>
      <c r="D18" s="985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5"/>
      <c r="U18" s="985"/>
      <c r="V18" s="985"/>
      <c r="X18" s="523">
        <f>C18+'AT-8_Hon_CCH_Pry'!C19</f>
        <v>3467</v>
      </c>
      <c r="Z18" s="378">
        <f>N18+'AT-8_Hon_CCH_Pry'!N19</f>
        <v>166.416</v>
      </c>
      <c r="AA18" s="378">
        <f>O18+'AT-8_Hon_CCH_Pry'!AD24</f>
        <v>0</v>
      </c>
    </row>
    <row r="19" spans="1:27" ht="14.25" x14ac:dyDescent="0.2">
      <c r="A19" s="50">
        <v>7</v>
      </c>
      <c r="B19" s="271" t="s">
        <v>902</v>
      </c>
      <c r="C19" s="985"/>
      <c r="D19" s="985"/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  <c r="Q19" s="985"/>
      <c r="R19" s="985"/>
      <c r="S19" s="985"/>
      <c r="T19" s="985"/>
      <c r="U19" s="985"/>
      <c r="V19" s="985"/>
      <c r="X19" s="523">
        <f>C19+'AT-8_Hon_CCH_Pry'!C20</f>
        <v>2687</v>
      </c>
      <c r="Z19" s="378">
        <f>N19+'AT-8_Hon_CCH_Pry'!N20</f>
        <v>128.976</v>
      </c>
      <c r="AA19" s="378">
        <f>O19+'AT-8_Hon_CCH_Pry'!AD25</f>
        <v>0</v>
      </c>
    </row>
    <row r="20" spans="1:27" ht="14.25" x14ac:dyDescent="0.2">
      <c r="A20" s="50">
        <v>8</v>
      </c>
      <c r="B20" s="271" t="s">
        <v>903</v>
      </c>
      <c r="C20" s="985"/>
      <c r="D20" s="985"/>
      <c r="E20" s="985"/>
      <c r="F20" s="985"/>
      <c r="G20" s="985"/>
      <c r="H20" s="985"/>
      <c r="I20" s="985"/>
      <c r="J20" s="985"/>
      <c r="K20" s="985"/>
      <c r="L20" s="985"/>
      <c r="M20" s="985"/>
      <c r="N20" s="985"/>
      <c r="O20" s="985"/>
      <c r="P20" s="985"/>
      <c r="Q20" s="985"/>
      <c r="R20" s="985"/>
      <c r="S20" s="985"/>
      <c r="T20" s="985"/>
      <c r="U20" s="985"/>
      <c r="V20" s="985"/>
      <c r="X20" s="523">
        <f>C20+'AT-8_Hon_CCH_Pry'!C21</f>
        <v>3717</v>
      </c>
      <c r="Z20" s="378">
        <f>N20+'AT-8_Hon_CCH_Pry'!N21</f>
        <v>178.416</v>
      </c>
      <c r="AA20" s="378">
        <f>O20+'AT-8_Hon_CCH_Pry'!AD26</f>
        <v>0</v>
      </c>
    </row>
    <row r="21" spans="1:27" ht="14.25" x14ac:dyDescent="0.2">
      <c r="A21" s="50">
        <v>9</v>
      </c>
      <c r="B21" s="271" t="s">
        <v>904</v>
      </c>
      <c r="C21" s="985"/>
      <c r="D21" s="985"/>
      <c r="E21" s="985"/>
      <c r="F21" s="985"/>
      <c r="G21" s="985"/>
      <c r="H21" s="985"/>
      <c r="I21" s="985"/>
      <c r="J21" s="985"/>
      <c r="K21" s="985"/>
      <c r="L21" s="985"/>
      <c r="M21" s="985"/>
      <c r="N21" s="985"/>
      <c r="O21" s="985"/>
      <c r="P21" s="985"/>
      <c r="Q21" s="985"/>
      <c r="R21" s="985"/>
      <c r="S21" s="985"/>
      <c r="T21" s="985"/>
      <c r="U21" s="985"/>
      <c r="V21" s="985"/>
      <c r="X21" s="523">
        <f>C21+'AT-8_Hon_CCH_Pry'!C22</f>
        <v>5569</v>
      </c>
      <c r="Z21" s="378">
        <f>N21+'AT-8_Hon_CCH_Pry'!N22</f>
        <v>267.31200000000001</v>
      </c>
      <c r="AA21" s="378">
        <f>O21+'AT-8_Hon_CCH_Pry'!AD27</f>
        <v>0</v>
      </c>
    </row>
    <row r="22" spans="1:27" ht="14.25" x14ac:dyDescent="0.2">
      <c r="A22" s="50">
        <v>10</v>
      </c>
      <c r="B22" s="271" t="s">
        <v>905</v>
      </c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X22" s="523">
        <f>C22+'AT-8_Hon_CCH_Pry'!C23</f>
        <v>2421</v>
      </c>
      <c r="Z22" s="378">
        <f>N22+'AT-8_Hon_CCH_Pry'!N23</f>
        <v>116.208</v>
      </c>
      <c r="AA22" s="378">
        <f>O22+'AT-8_Hon_CCH_Pry'!AD28</f>
        <v>0</v>
      </c>
    </row>
    <row r="23" spans="1:27" ht="14.25" x14ac:dyDescent="0.2">
      <c r="A23" s="50">
        <v>11</v>
      </c>
      <c r="B23" s="271" t="s">
        <v>906</v>
      </c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X23" s="523">
        <f>C23+'AT-8_Hon_CCH_Pry'!C24</f>
        <v>3429</v>
      </c>
      <c r="Z23" s="378">
        <f>N23+'AT-8_Hon_CCH_Pry'!N24</f>
        <v>164.59200000000001</v>
      </c>
      <c r="AA23" s="378">
        <f>O23+'AT-8_Hon_CCH_Pry'!AD29</f>
        <v>0</v>
      </c>
    </row>
    <row r="24" spans="1:27" ht="14.25" x14ac:dyDescent="0.2">
      <c r="A24" s="50">
        <v>12</v>
      </c>
      <c r="B24" s="271" t="s">
        <v>907</v>
      </c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X24" s="523">
        <f>C24+'AT-8_Hon_CCH_Pry'!C25</f>
        <v>3445</v>
      </c>
      <c r="Z24" s="378">
        <f>N24+'AT-8_Hon_CCH_Pry'!N25</f>
        <v>165.36</v>
      </c>
      <c r="AA24" s="378">
        <f>O24+'AT-8_Hon_CCH_Pry'!AD30</f>
        <v>0</v>
      </c>
    </row>
    <row r="25" spans="1:27" ht="14.25" x14ac:dyDescent="0.2">
      <c r="A25" s="50">
        <v>13</v>
      </c>
      <c r="B25" s="271" t="s">
        <v>908</v>
      </c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X25" s="523">
        <f>C25+'AT-8_Hon_CCH_Pry'!C26</f>
        <v>1704</v>
      </c>
      <c r="Z25" s="378">
        <f>N25+'AT-8_Hon_CCH_Pry'!N26</f>
        <v>81.792000000000002</v>
      </c>
      <c r="AA25" s="378">
        <f>O25+'AT-8_Hon_CCH_Pry'!AD31</f>
        <v>0</v>
      </c>
    </row>
    <row r="26" spans="1:27" ht="14.25" x14ac:dyDescent="0.2">
      <c r="A26" s="50">
        <v>14</v>
      </c>
      <c r="B26" s="271" t="s">
        <v>909</v>
      </c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X26" s="523">
        <f>C26+'AT-8_Hon_CCH_Pry'!C27</f>
        <v>1506</v>
      </c>
      <c r="Z26" s="378">
        <f>N26+'AT-8_Hon_CCH_Pry'!N27</f>
        <v>72.287999999999997</v>
      </c>
      <c r="AA26" s="378">
        <f>O26+'AT-8_Hon_CCH_Pry'!AD32</f>
        <v>0</v>
      </c>
    </row>
    <row r="27" spans="1:27" ht="14.25" x14ac:dyDescent="0.2">
      <c r="A27" s="50">
        <v>15</v>
      </c>
      <c r="B27" s="271" t="s">
        <v>910</v>
      </c>
      <c r="C27" s="985"/>
      <c r="D27" s="985"/>
      <c r="E27" s="985"/>
      <c r="F27" s="985"/>
      <c r="G27" s="985"/>
      <c r="H27" s="985"/>
      <c r="I27" s="985"/>
      <c r="J27" s="985"/>
      <c r="K27" s="985"/>
      <c r="L27" s="985"/>
      <c r="M27" s="985"/>
      <c r="N27" s="985"/>
      <c r="O27" s="985"/>
      <c r="P27" s="985"/>
      <c r="Q27" s="985"/>
      <c r="R27" s="985"/>
      <c r="S27" s="985"/>
      <c r="T27" s="985"/>
      <c r="U27" s="985"/>
      <c r="V27" s="985"/>
      <c r="X27" s="523">
        <f>C27+'AT-8_Hon_CCH_Pry'!C28</f>
        <v>3918</v>
      </c>
      <c r="Z27" s="378">
        <f>N27+'AT-8_Hon_CCH_Pry'!N28</f>
        <v>188.06399999999999</v>
      </c>
      <c r="AA27" s="378">
        <f>O27+'AT-8_Hon_CCH_Pry'!AD33</f>
        <v>0</v>
      </c>
    </row>
    <row r="28" spans="1:27" ht="14.25" x14ac:dyDescent="0.2">
      <c r="A28" s="50">
        <v>16</v>
      </c>
      <c r="B28" s="271" t="s">
        <v>911</v>
      </c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985"/>
      <c r="V28" s="985"/>
      <c r="X28" s="523">
        <f>C28+'AT-8_Hon_CCH_Pry'!C29</f>
        <v>6959</v>
      </c>
      <c r="Z28" s="378">
        <f>N28+'AT-8_Hon_CCH_Pry'!N29</f>
        <v>334.03199999999998</v>
      </c>
      <c r="AA28" s="378">
        <f>O28+'AT-8_Hon_CCH_Pry'!AD34</f>
        <v>0</v>
      </c>
    </row>
    <row r="29" spans="1:27" ht="14.25" x14ac:dyDescent="0.2">
      <c r="A29" s="50">
        <v>17</v>
      </c>
      <c r="B29" s="271" t="s">
        <v>912</v>
      </c>
      <c r="C29" s="985"/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5"/>
      <c r="X29" s="523">
        <f>C29+'AT-8_Hon_CCH_Pry'!C30</f>
        <v>3771</v>
      </c>
      <c r="Z29" s="378">
        <f>N29+'AT-8_Hon_CCH_Pry'!N30</f>
        <v>181.00800000000001</v>
      </c>
      <c r="AA29" s="378">
        <f>O29+'AT-8_Hon_CCH_Pry'!AD35</f>
        <v>0</v>
      </c>
    </row>
    <row r="30" spans="1:27" ht="14.25" x14ac:dyDescent="0.2">
      <c r="A30" s="50">
        <v>18</v>
      </c>
      <c r="B30" s="271" t="s">
        <v>913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X30" s="523">
        <f>C30+'AT-8_Hon_CCH_Pry'!C31</f>
        <v>3862</v>
      </c>
      <c r="Z30" s="378">
        <f>N30+'AT-8_Hon_CCH_Pry'!N31</f>
        <v>185.376</v>
      </c>
      <c r="AA30" s="378">
        <f>O30+'AT-8_Hon_CCH_Pry'!AD36</f>
        <v>0</v>
      </c>
    </row>
    <row r="31" spans="1:27" ht="14.25" x14ac:dyDescent="0.2">
      <c r="A31" s="50">
        <v>19</v>
      </c>
      <c r="B31" s="271" t="s">
        <v>914</v>
      </c>
      <c r="C31" s="985"/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5"/>
      <c r="X31" s="523">
        <f>C31+'AT-8_Hon_CCH_Pry'!C32</f>
        <v>4640</v>
      </c>
      <c r="Z31" s="378">
        <f>N31+'AT-8_Hon_CCH_Pry'!N32</f>
        <v>222.72</v>
      </c>
      <c r="AA31" s="378">
        <f>O31+'AT-8_Hon_CCH_Pry'!AD37</f>
        <v>0</v>
      </c>
    </row>
    <row r="32" spans="1:27" ht="14.25" x14ac:dyDescent="0.2">
      <c r="A32" s="50">
        <v>20</v>
      </c>
      <c r="B32" s="271" t="s">
        <v>915</v>
      </c>
      <c r="C32" s="985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5"/>
      <c r="U32" s="985"/>
      <c r="V32" s="985"/>
      <c r="X32" s="523">
        <f>C32+'AT-8_Hon_CCH_Pry'!C33</f>
        <v>2202</v>
      </c>
      <c r="Z32" s="378">
        <f>N32+'AT-8_Hon_CCH_Pry'!N33</f>
        <v>105.696</v>
      </c>
      <c r="AA32" s="378">
        <f>O32+'AT-8_Hon_CCH_Pry'!AD38</f>
        <v>0</v>
      </c>
    </row>
    <row r="33" spans="1:27" ht="14.25" x14ac:dyDescent="0.2">
      <c r="A33" s="50">
        <v>21</v>
      </c>
      <c r="B33" s="271" t="s">
        <v>916</v>
      </c>
      <c r="C33" s="985"/>
      <c r="D33" s="985"/>
      <c r="E33" s="985"/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  <c r="X33" s="523">
        <f>C33+'AT-8_Hon_CCH_Pry'!C34</f>
        <v>3185</v>
      </c>
      <c r="Z33" s="378">
        <f>N33+'AT-8_Hon_CCH_Pry'!N34</f>
        <v>152.88</v>
      </c>
      <c r="AA33" s="378">
        <f>O33+'AT-8_Hon_CCH_Pry'!AD39</f>
        <v>0</v>
      </c>
    </row>
    <row r="34" spans="1:27" ht="14.25" x14ac:dyDescent="0.2">
      <c r="A34" s="50">
        <v>22</v>
      </c>
      <c r="B34" s="271" t="s">
        <v>917</v>
      </c>
      <c r="C34" s="985"/>
      <c r="D34" s="985"/>
      <c r="E34" s="985"/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85"/>
      <c r="S34" s="985"/>
      <c r="T34" s="985"/>
      <c r="U34" s="985"/>
      <c r="V34" s="985"/>
      <c r="X34" s="523">
        <f>C34+'AT-8_Hon_CCH_Pry'!C35</f>
        <v>2068</v>
      </c>
      <c r="Z34" s="378">
        <f>N34+'AT-8_Hon_CCH_Pry'!N35</f>
        <v>99.263999999999996</v>
      </c>
      <c r="AA34" s="378">
        <f>O34+'AT-8_Hon_CCH_Pry'!AD40</f>
        <v>0</v>
      </c>
    </row>
    <row r="35" spans="1:27" ht="14.25" x14ac:dyDescent="0.2">
      <c r="A35" s="50">
        <v>23</v>
      </c>
      <c r="B35" s="271" t="s">
        <v>918</v>
      </c>
      <c r="C35" s="985"/>
      <c r="D35" s="985"/>
      <c r="E35" s="985"/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5"/>
      <c r="S35" s="985"/>
      <c r="T35" s="985"/>
      <c r="U35" s="985"/>
      <c r="V35" s="985"/>
      <c r="X35" s="523">
        <f>C35+'AT-8_Hon_CCH_Pry'!C36</f>
        <v>3206</v>
      </c>
      <c r="Z35" s="378">
        <f>N35+'AT-8_Hon_CCH_Pry'!N36</f>
        <v>153.88800000000001</v>
      </c>
      <c r="AA35" s="378">
        <f>O35+'AT-8_Hon_CCH_Pry'!AD41</f>
        <v>0</v>
      </c>
    </row>
    <row r="36" spans="1:27" ht="14.25" x14ac:dyDescent="0.2">
      <c r="A36" s="50">
        <v>24</v>
      </c>
      <c r="B36" s="49" t="s">
        <v>919</v>
      </c>
      <c r="C36" s="985"/>
      <c r="D36" s="985"/>
      <c r="E36" s="985"/>
      <c r="F36" s="985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85"/>
      <c r="S36" s="985"/>
      <c r="T36" s="985"/>
      <c r="U36" s="985"/>
      <c r="V36" s="985"/>
      <c r="X36" s="523">
        <f>C36+'AT-8_Hon_CCH_Pry'!C37</f>
        <v>4242</v>
      </c>
      <c r="Z36" s="378">
        <f>N36+'AT-8_Hon_CCH_Pry'!N37</f>
        <v>203.61600000000001</v>
      </c>
      <c r="AA36" s="378">
        <f>O36+'AT-8_Hon_CCH_Pry'!AD42</f>
        <v>0</v>
      </c>
    </row>
    <row r="37" spans="1:27" s="14" customFormat="1" ht="15" x14ac:dyDescent="0.25">
      <c r="A37" s="983" t="s">
        <v>18</v>
      </c>
      <c r="B37" s="983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</row>
    <row r="38" spans="1:27" ht="15.75" x14ac:dyDescent="0.2">
      <c r="A38" s="984"/>
      <c r="B38" s="984"/>
      <c r="C38" s="984"/>
      <c r="D38" s="984"/>
      <c r="E38" s="984"/>
      <c r="F38" s="984"/>
      <c r="G38" s="984"/>
      <c r="H38" s="984"/>
      <c r="I38" s="984"/>
      <c r="J38" s="984"/>
      <c r="K38" s="984"/>
      <c r="L38" s="984"/>
      <c r="M38" s="984"/>
      <c r="N38" s="984"/>
      <c r="O38" s="984"/>
      <c r="P38" s="984"/>
      <c r="Q38" s="984"/>
      <c r="R38" s="984"/>
      <c r="S38" s="984"/>
      <c r="T38" s="984"/>
      <c r="U38" s="984"/>
    </row>
    <row r="42" spans="1:27" x14ac:dyDescent="0.2">
      <c r="A42" s="14" t="s">
        <v>11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5"/>
      <c r="P42" s="803" t="s">
        <v>12</v>
      </c>
      <c r="Q42" s="803"/>
      <c r="U42" s="14"/>
    </row>
    <row r="43" spans="1:27" x14ac:dyDescent="0.2">
      <c r="A43" s="803" t="s">
        <v>13</v>
      </c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</row>
    <row r="44" spans="1:27" x14ac:dyDescent="0.2">
      <c r="A44" s="803" t="s">
        <v>19</v>
      </c>
      <c r="B44" s="803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</row>
    <row r="45" spans="1:27" x14ac:dyDescent="0.2">
      <c r="O45" s="853" t="s">
        <v>84</v>
      </c>
      <c r="P45" s="853"/>
      <c r="Q45" s="853"/>
    </row>
  </sheetData>
  <mergeCells count="26">
    <mergeCell ref="Q1:V1"/>
    <mergeCell ref="K10:M10"/>
    <mergeCell ref="N10:P10"/>
    <mergeCell ref="Q10:S10"/>
    <mergeCell ref="A3:Q3"/>
    <mergeCell ref="A4:P4"/>
    <mergeCell ref="V10:V11"/>
    <mergeCell ref="A5:Q5"/>
    <mergeCell ref="A7:S7"/>
    <mergeCell ref="P9:V9"/>
    <mergeCell ref="P8:V8"/>
    <mergeCell ref="O45:Q45"/>
    <mergeCell ref="U10:U11"/>
    <mergeCell ref="T10:T11"/>
    <mergeCell ref="A10:A11"/>
    <mergeCell ref="B10:B11"/>
    <mergeCell ref="C10:C11"/>
    <mergeCell ref="D10:D11"/>
    <mergeCell ref="E10:G10"/>
    <mergeCell ref="H10:J10"/>
    <mergeCell ref="P42:Q42"/>
    <mergeCell ref="A43:Q43"/>
    <mergeCell ref="A44:Q44"/>
    <mergeCell ref="A37:B37"/>
    <mergeCell ref="A38:U38"/>
    <mergeCell ref="C13:V37"/>
  </mergeCells>
  <printOptions horizontalCentered="1"/>
  <pageMargins left="0.48" right="0.26" top="0.23622047244094491" bottom="0" header="0.24" footer="0.31496062992125984"/>
  <pageSetup paperSize="9" scale="6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42"/>
  <sheetViews>
    <sheetView topLeftCell="A19" zoomScaleNormal="100" zoomScaleSheetLayoutView="100" workbookViewId="0">
      <selection activeCell="C36" sqref="C36"/>
    </sheetView>
  </sheetViews>
  <sheetFormatPr defaultColWidth="9.140625" defaultRowHeight="12.75" x14ac:dyDescent="0.2"/>
  <cols>
    <col min="1" max="1" width="9.140625" style="15"/>
    <col min="2" max="2" width="17.14062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17.7109375" style="15" customWidth="1"/>
    <col min="8" max="8" width="16.7109375" style="15" customWidth="1"/>
    <col min="9" max="9" width="22.140625" style="15" customWidth="1"/>
    <col min="10" max="10" width="9.140625" style="15"/>
    <col min="11" max="11" width="0" style="462" hidden="1" customWidth="1"/>
    <col min="12" max="16384" width="9.140625" style="15"/>
  </cols>
  <sheetData>
    <row r="1" spans="1:22" customFormat="1" ht="15" x14ac:dyDescent="0.2">
      <c r="I1" s="38" t="s">
        <v>66</v>
      </c>
      <c r="J1" s="40"/>
      <c r="K1" s="462"/>
    </row>
    <row r="2" spans="1:22" customFormat="1" ht="15" x14ac:dyDescent="0.2">
      <c r="D2" s="42" t="s">
        <v>0</v>
      </c>
      <c r="E2" s="42"/>
      <c r="F2" s="42"/>
      <c r="G2" s="42"/>
      <c r="H2" s="42"/>
      <c r="I2" s="42"/>
      <c r="J2" s="42"/>
      <c r="K2" s="462"/>
    </row>
    <row r="3" spans="1:22" customFormat="1" ht="20.25" customHeight="1" x14ac:dyDescent="0.3">
      <c r="B3" s="139"/>
      <c r="C3" s="987" t="s">
        <v>740</v>
      </c>
      <c r="D3" s="987"/>
      <c r="E3" s="987"/>
      <c r="F3" s="987"/>
      <c r="G3" s="111"/>
      <c r="H3" s="111"/>
      <c r="I3" s="111"/>
      <c r="J3" s="41"/>
      <c r="K3" s="462"/>
    </row>
    <row r="4" spans="1:22" customFormat="1" ht="10.5" customHeight="1" x14ac:dyDescent="0.2">
      <c r="K4" s="462"/>
    </row>
    <row r="5" spans="1:22" ht="30.75" customHeight="1" x14ac:dyDescent="0.2">
      <c r="A5" s="988" t="s">
        <v>813</v>
      </c>
      <c r="B5" s="988"/>
      <c r="C5" s="988"/>
      <c r="D5" s="988"/>
      <c r="E5" s="988"/>
      <c r="F5" s="988"/>
      <c r="G5" s="988"/>
      <c r="H5" s="988"/>
      <c r="I5" s="988"/>
    </row>
    <row r="7" spans="1:22" ht="0.75" customHeight="1" x14ac:dyDescent="0.2"/>
    <row r="8" spans="1:22" x14ac:dyDescent="0.2">
      <c r="A8" s="14" t="s">
        <v>927</v>
      </c>
      <c r="I8" s="30" t="s">
        <v>24</v>
      </c>
    </row>
    <row r="9" spans="1:22" x14ac:dyDescent="0.2">
      <c r="D9" s="921" t="s">
        <v>830</v>
      </c>
      <c r="E9" s="921"/>
      <c r="F9" s="921"/>
      <c r="G9" s="921"/>
      <c r="H9" s="921"/>
      <c r="I9" s="921"/>
      <c r="U9" s="18"/>
      <c r="V9" s="20"/>
    </row>
    <row r="10" spans="1:22" ht="51" x14ac:dyDescent="0.2">
      <c r="A10" s="5" t="s">
        <v>2</v>
      </c>
      <c r="B10" s="5" t="s">
        <v>3</v>
      </c>
      <c r="C10" s="2" t="s">
        <v>855</v>
      </c>
      <c r="D10" s="2" t="s">
        <v>857</v>
      </c>
      <c r="E10" s="2" t="s">
        <v>115</v>
      </c>
      <c r="F10" s="5" t="s">
        <v>220</v>
      </c>
      <c r="G10" s="2" t="s">
        <v>707</v>
      </c>
      <c r="H10" s="2" t="s">
        <v>151</v>
      </c>
      <c r="I10" s="31" t="s">
        <v>858</v>
      </c>
    </row>
    <row r="11" spans="1:22" s="101" customFormat="1" ht="15.75" customHeight="1" x14ac:dyDescent="0.2">
      <c r="A11" s="64">
        <v>1</v>
      </c>
      <c r="B11" s="63">
        <v>2</v>
      </c>
      <c r="C11" s="64">
        <v>3</v>
      </c>
      <c r="D11" s="63">
        <v>4</v>
      </c>
      <c r="E11" s="64">
        <v>5</v>
      </c>
      <c r="F11" s="63">
        <v>6</v>
      </c>
      <c r="G11" s="64">
        <v>7</v>
      </c>
      <c r="H11" s="63">
        <v>8</v>
      </c>
      <c r="I11" s="64">
        <v>9</v>
      </c>
      <c r="J11" s="15"/>
      <c r="K11" s="46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customFormat="1" x14ac:dyDescent="0.2">
      <c r="A12" s="17">
        <v>1</v>
      </c>
      <c r="B12" s="176" t="s">
        <v>896</v>
      </c>
      <c r="C12" s="370">
        <f>T6_FG_py_Utlsn!C12*1175/100000+'T6A_FG_Upy_Utlsn '!C12*1175/100000</f>
        <v>72.124731249999996</v>
      </c>
      <c r="D12" s="371">
        <v>0</v>
      </c>
      <c r="E12" s="371">
        <v>60.57</v>
      </c>
      <c r="F12" s="370">
        <v>0</v>
      </c>
      <c r="G12" s="371">
        <v>117.5</v>
      </c>
      <c r="H12" s="370">
        <v>46.015000000000001</v>
      </c>
      <c r="I12" s="370">
        <f>D12+E12+F12-H12</f>
        <v>14.555</v>
      </c>
      <c r="J12" s="15"/>
      <c r="K12" s="462">
        <f>83.97/100*C12</f>
        <v>60.563136830624998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customFormat="1" x14ac:dyDescent="0.2">
      <c r="A13" s="17">
        <v>2</v>
      </c>
      <c r="B13" s="176" t="s">
        <v>897</v>
      </c>
      <c r="C13" s="370">
        <f>T6_FG_py_Utlsn!C13*1175/100000+'T6A_FG_Upy_Utlsn '!C13*1175/100000</f>
        <v>22.519395525</v>
      </c>
      <c r="D13" s="371">
        <v>0</v>
      </c>
      <c r="E13" s="371">
        <v>18.91</v>
      </c>
      <c r="F13" s="370">
        <v>0</v>
      </c>
      <c r="G13" s="371">
        <v>117.5</v>
      </c>
      <c r="H13" s="370">
        <v>13.205</v>
      </c>
      <c r="I13" s="370">
        <f t="shared" ref="I13:I35" si="0">D13+E13+F13-H13</f>
        <v>5.7050000000000001</v>
      </c>
      <c r="J13" s="15"/>
      <c r="K13" s="462">
        <f>83.97/100*C13</f>
        <v>18.909536422342502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customFormat="1" x14ac:dyDescent="0.2">
      <c r="A14" s="17">
        <v>3</v>
      </c>
      <c r="B14" s="176" t="s">
        <v>898</v>
      </c>
      <c r="C14" s="370">
        <f>T6_FG_py_Utlsn!C14*1175/100000+'T6A_FG_Upy_Utlsn '!C14*1175/100000</f>
        <v>18.707293674999999</v>
      </c>
      <c r="D14" s="371">
        <v>0</v>
      </c>
      <c r="E14" s="371">
        <v>15.71</v>
      </c>
      <c r="F14" s="370">
        <v>0</v>
      </c>
      <c r="G14" s="371">
        <v>117.5</v>
      </c>
      <c r="H14" s="370">
        <v>4.0119999999999996</v>
      </c>
      <c r="I14" s="370">
        <f t="shared" si="0"/>
        <v>11.698</v>
      </c>
      <c r="J14" s="15"/>
      <c r="K14" s="462">
        <f>83.97/100*C14</f>
        <v>15.708514498897499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customFormat="1" x14ac:dyDescent="0.2">
      <c r="A15" s="17">
        <v>4</v>
      </c>
      <c r="B15" s="176" t="s">
        <v>899</v>
      </c>
      <c r="C15" s="370">
        <f>T6_FG_py_Utlsn!C15*1175/100000+'T6A_FG_Upy_Utlsn '!C15*1175/100000</f>
        <v>52.475269699999998</v>
      </c>
      <c r="D15" s="371">
        <v>0</v>
      </c>
      <c r="E15" s="371">
        <v>44.06</v>
      </c>
      <c r="F15" s="370">
        <v>0</v>
      </c>
      <c r="G15" s="371">
        <v>117.5</v>
      </c>
      <c r="H15" s="370">
        <v>28.628</v>
      </c>
      <c r="I15" s="370">
        <f t="shared" si="0"/>
        <v>15.432000000000002</v>
      </c>
      <c r="J15" s="15"/>
      <c r="K15" s="462">
        <v>44.063483967090001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customFormat="1" x14ac:dyDescent="0.2">
      <c r="A16" s="17">
        <v>5</v>
      </c>
      <c r="B16" s="176" t="s">
        <v>900</v>
      </c>
      <c r="C16" s="370">
        <f>T6_FG_py_Utlsn!C16*1175/100000+'T6A_FG_Upy_Utlsn '!C16*1175/100000</f>
        <v>28.04266045</v>
      </c>
      <c r="D16" s="371">
        <v>0</v>
      </c>
      <c r="E16" s="371">
        <v>23.55</v>
      </c>
      <c r="F16" s="370">
        <v>0</v>
      </c>
      <c r="G16" s="371">
        <v>117.5</v>
      </c>
      <c r="H16" s="370">
        <v>17.791</v>
      </c>
      <c r="I16" s="370">
        <f t="shared" si="0"/>
        <v>5.7590000000000003</v>
      </c>
      <c r="J16" s="15"/>
      <c r="K16" s="462">
        <v>23.547421979865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customFormat="1" x14ac:dyDescent="0.2">
      <c r="A17" s="17">
        <v>6</v>
      </c>
      <c r="B17" s="176" t="s">
        <v>901</v>
      </c>
      <c r="C17" s="370">
        <f>T6_FG_py_Utlsn!C17*1175/100000+'T6A_FG_Upy_Utlsn '!C17*1175/100000</f>
        <v>52.744173149999995</v>
      </c>
      <c r="D17" s="371">
        <v>0</v>
      </c>
      <c r="E17" s="371">
        <v>44.29</v>
      </c>
      <c r="F17" s="370">
        <v>0</v>
      </c>
      <c r="G17" s="371">
        <v>117.5</v>
      </c>
      <c r="H17" s="370">
        <v>29.346</v>
      </c>
      <c r="I17" s="370">
        <f t="shared" si="0"/>
        <v>14.943999999999999</v>
      </c>
      <c r="J17" s="15"/>
      <c r="K17" s="462">
        <v>44.289282194054998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customFormat="1" x14ac:dyDescent="0.2">
      <c r="A18" s="17">
        <v>7</v>
      </c>
      <c r="B18" s="176" t="s">
        <v>902</v>
      </c>
      <c r="C18" s="370">
        <f>T6_FG_py_Utlsn!C18*1175/100000+'T6A_FG_Upy_Utlsn '!C18*1175/100000</f>
        <v>34.058218650000001</v>
      </c>
      <c r="D18" s="371">
        <v>0</v>
      </c>
      <c r="E18" s="371">
        <v>28.6</v>
      </c>
      <c r="F18" s="370">
        <v>0</v>
      </c>
      <c r="G18" s="371">
        <v>117.5</v>
      </c>
      <c r="H18" s="370">
        <v>17.172000000000001</v>
      </c>
      <c r="I18" s="370">
        <f t="shared" si="0"/>
        <v>11.428000000000001</v>
      </c>
      <c r="J18" s="15"/>
      <c r="K18" s="462">
        <v>28.598686200405002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customFormat="1" x14ac:dyDescent="0.2">
      <c r="A19" s="17">
        <v>8</v>
      </c>
      <c r="B19" s="176" t="s">
        <v>903</v>
      </c>
      <c r="C19" s="370">
        <f>T6_FG_py_Utlsn!C19*1175/100000+'T6A_FG_Upy_Utlsn '!C19*1175/100000</f>
        <v>67.926250624999994</v>
      </c>
      <c r="D19" s="371">
        <v>0</v>
      </c>
      <c r="E19" s="371">
        <v>57.04</v>
      </c>
      <c r="F19" s="370">
        <v>0</v>
      </c>
      <c r="G19" s="371">
        <v>117.5</v>
      </c>
      <c r="H19" s="370">
        <v>47.067</v>
      </c>
      <c r="I19" s="370">
        <f t="shared" si="0"/>
        <v>9.972999999999999</v>
      </c>
      <c r="J19" s="15"/>
      <c r="K19" s="462">
        <v>57.037672649812492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customFormat="1" x14ac:dyDescent="0.2">
      <c r="A20" s="17">
        <v>9</v>
      </c>
      <c r="B20" s="176" t="s">
        <v>904</v>
      </c>
      <c r="C20" s="370">
        <f>T6_FG_py_Utlsn!C20*1175/100000+'T6A_FG_Upy_Utlsn '!C20*1175/100000</f>
        <v>94.014585275000002</v>
      </c>
      <c r="D20" s="371">
        <v>0</v>
      </c>
      <c r="E20" s="371">
        <v>78.94</v>
      </c>
      <c r="F20" s="370">
        <v>0</v>
      </c>
      <c r="G20" s="371">
        <v>117.5</v>
      </c>
      <c r="H20" s="370">
        <v>56.457000000000001</v>
      </c>
      <c r="I20" s="370">
        <f t="shared" si="0"/>
        <v>22.482999999999997</v>
      </c>
      <c r="J20" s="15"/>
      <c r="K20" s="462">
        <v>78.944047255417502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customFormat="1" x14ac:dyDescent="0.2">
      <c r="A21" s="17">
        <v>10</v>
      </c>
      <c r="B21" s="176" t="s">
        <v>905</v>
      </c>
      <c r="C21" s="370">
        <f>T6_FG_py_Utlsn!C21*1175/100000+'T6A_FG_Upy_Utlsn '!C21*1175/100000</f>
        <v>32.273189200000004</v>
      </c>
      <c r="D21" s="371">
        <v>0</v>
      </c>
      <c r="E21" s="371">
        <v>27.1</v>
      </c>
      <c r="F21" s="370">
        <v>0</v>
      </c>
      <c r="G21" s="371">
        <v>117.5</v>
      </c>
      <c r="H21" s="370">
        <v>23.634</v>
      </c>
      <c r="I21" s="370">
        <f t="shared" si="0"/>
        <v>3.4660000000000011</v>
      </c>
      <c r="J21" s="15"/>
      <c r="K21" s="462">
        <v>27.099796971240004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customFormat="1" x14ac:dyDescent="0.2">
      <c r="A22" s="17">
        <v>11</v>
      </c>
      <c r="B22" s="176" t="s">
        <v>906</v>
      </c>
      <c r="C22" s="370">
        <f>T6_FG_py_Utlsn!C22*1175/100000+'T6A_FG_Upy_Utlsn '!C22*1175/100000</f>
        <v>53.029464324999999</v>
      </c>
      <c r="D22" s="371">
        <v>0</v>
      </c>
      <c r="E22" s="371">
        <v>44.53</v>
      </c>
      <c r="F22" s="370">
        <v>0</v>
      </c>
      <c r="G22" s="371">
        <v>117.5</v>
      </c>
      <c r="H22" s="370">
        <v>25.483000000000001</v>
      </c>
      <c r="I22" s="370">
        <f t="shared" si="0"/>
        <v>19.047000000000001</v>
      </c>
      <c r="J22" s="15"/>
      <c r="K22" s="462">
        <v>44.528841193702497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customFormat="1" x14ac:dyDescent="0.2">
      <c r="A23" s="17">
        <v>12</v>
      </c>
      <c r="B23" s="269" t="s">
        <v>907</v>
      </c>
      <c r="C23" s="370">
        <f>T6_FG_py_Utlsn!C23*1175/100000+'T6A_FG_Upy_Utlsn '!C23*1175/100000</f>
        <v>55.595906374999998</v>
      </c>
      <c r="D23" s="371">
        <v>0</v>
      </c>
      <c r="E23" s="371">
        <v>46.68</v>
      </c>
      <c r="F23" s="370">
        <v>0</v>
      </c>
      <c r="G23" s="371">
        <v>117.5</v>
      </c>
      <c r="H23" s="370">
        <v>36.777000000000001</v>
      </c>
      <c r="I23" s="370">
        <f t="shared" si="0"/>
        <v>9.9029999999999987</v>
      </c>
      <c r="J23" s="15"/>
      <c r="K23" s="462">
        <v>46.683882583087495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customFormat="1" x14ac:dyDescent="0.2">
      <c r="A24" s="17">
        <v>13</v>
      </c>
      <c r="B24" s="176" t="s">
        <v>908</v>
      </c>
      <c r="C24" s="370">
        <f>T6_FG_py_Utlsn!C24*1175/100000+'T6A_FG_Upy_Utlsn '!C24*1175/100000</f>
        <v>24.822832625000004</v>
      </c>
      <c r="D24" s="371">
        <v>0</v>
      </c>
      <c r="E24" s="371">
        <v>20.84</v>
      </c>
      <c r="F24" s="370">
        <v>0</v>
      </c>
      <c r="G24" s="371">
        <v>117.5</v>
      </c>
      <c r="H24" s="370">
        <v>13.795999999999999</v>
      </c>
      <c r="I24" s="370">
        <f t="shared" si="0"/>
        <v>7.0440000000000005</v>
      </c>
      <c r="J24" s="15"/>
      <c r="K24" s="462">
        <v>20.843732555212505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customFormat="1" x14ac:dyDescent="0.2">
      <c r="A25" s="17">
        <v>14</v>
      </c>
      <c r="B25" s="176" t="s">
        <v>909</v>
      </c>
      <c r="C25" s="370">
        <f>T6_FG_py_Utlsn!C25*1175/100000+'T6A_FG_Upy_Utlsn '!C25*1175/100000</f>
        <v>25.9615686</v>
      </c>
      <c r="D25" s="371">
        <v>0</v>
      </c>
      <c r="E25" s="371">
        <v>21.8</v>
      </c>
      <c r="F25" s="370">
        <v>0</v>
      </c>
      <c r="G25" s="371">
        <v>117.5</v>
      </c>
      <c r="H25" s="370">
        <v>10.356</v>
      </c>
      <c r="I25" s="370">
        <f t="shared" si="0"/>
        <v>11.444000000000001</v>
      </c>
      <c r="J25" s="15"/>
      <c r="K25" s="462">
        <v>21.799929153419999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customFormat="1" x14ac:dyDescent="0.2">
      <c r="A26" s="17">
        <v>15</v>
      </c>
      <c r="B26" s="176" t="s">
        <v>910</v>
      </c>
      <c r="C26" s="370">
        <f>T6_FG_py_Utlsn!C26*1175/100000+'T6A_FG_Upy_Utlsn '!C26*1175/100000</f>
        <v>56.738627950000001</v>
      </c>
      <c r="D26" s="371">
        <v>0</v>
      </c>
      <c r="E26" s="371">
        <v>47.64</v>
      </c>
      <c r="F26" s="370">
        <v>0</v>
      </c>
      <c r="G26" s="371">
        <v>117.5</v>
      </c>
      <c r="H26" s="370">
        <v>34.988</v>
      </c>
      <c r="I26" s="370">
        <f t="shared" si="0"/>
        <v>12.652000000000001</v>
      </c>
      <c r="J26" s="15"/>
      <c r="K26" s="462">
        <v>47.643425889615003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customFormat="1" x14ac:dyDescent="0.2">
      <c r="A27" s="17">
        <v>16</v>
      </c>
      <c r="B27" s="176" t="s">
        <v>911</v>
      </c>
      <c r="C27" s="370">
        <f>T6_FG_py_Utlsn!C27*1175/100000+'T6A_FG_Upy_Utlsn '!C27*1175/100000</f>
        <v>77.221848350000002</v>
      </c>
      <c r="D27" s="371">
        <v>0</v>
      </c>
      <c r="E27" s="371">
        <v>64.84</v>
      </c>
      <c r="F27" s="370">
        <v>0</v>
      </c>
      <c r="G27" s="371">
        <v>117.5</v>
      </c>
      <c r="H27" s="370">
        <v>42.113999999999997</v>
      </c>
      <c r="I27" s="370">
        <f t="shared" si="0"/>
        <v>22.726000000000006</v>
      </c>
      <c r="J27" s="15"/>
      <c r="K27" s="462">
        <v>64.843186059494997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customFormat="1" x14ac:dyDescent="0.2">
      <c r="A28" s="17">
        <v>17</v>
      </c>
      <c r="B28" s="176" t="s">
        <v>912</v>
      </c>
      <c r="C28" s="370">
        <f>T6_FG_py_Utlsn!C28*1175/100000+'T6A_FG_Upy_Utlsn '!C28*1175/100000</f>
        <v>57.815286325000002</v>
      </c>
      <c r="D28" s="371">
        <v>0</v>
      </c>
      <c r="E28" s="371">
        <v>48.55</v>
      </c>
      <c r="F28" s="370">
        <v>0</v>
      </c>
      <c r="G28" s="371">
        <v>117.5</v>
      </c>
      <c r="H28" s="370">
        <v>32.098999999999997</v>
      </c>
      <c r="I28" s="370">
        <f t="shared" si="0"/>
        <v>16.451000000000001</v>
      </c>
      <c r="J28" s="15"/>
      <c r="K28" s="462">
        <v>48.547495927102503</v>
      </c>
      <c r="L28" s="15"/>
      <c r="M28" s="15" t="s">
        <v>1071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 customFormat="1" x14ac:dyDescent="0.2">
      <c r="A29" s="17">
        <v>18</v>
      </c>
      <c r="B29" s="176" t="s">
        <v>913</v>
      </c>
      <c r="C29" s="370">
        <f>T6_FG_py_Utlsn!C29*1175/100000+'T6A_FG_Upy_Utlsn '!C29*1175/100000</f>
        <v>49.432571949999996</v>
      </c>
      <c r="D29" s="371">
        <v>0</v>
      </c>
      <c r="E29" s="371">
        <v>41.51</v>
      </c>
      <c r="F29" s="370">
        <v>0</v>
      </c>
      <c r="G29" s="371">
        <v>117.5</v>
      </c>
      <c r="H29" s="370">
        <v>33.942999999999998</v>
      </c>
      <c r="I29" s="370">
        <f t="shared" si="0"/>
        <v>7.5670000000000002</v>
      </c>
      <c r="J29" s="15"/>
      <c r="K29" s="462">
        <v>41.508530666414998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customFormat="1" x14ac:dyDescent="0.2">
      <c r="A30" s="17">
        <v>19</v>
      </c>
      <c r="B30" s="176" t="s">
        <v>914</v>
      </c>
      <c r="C30" s="370">
        <f>T6_FG_py_Utlsn!C30*1175/100000+'T6A_FG_Upy_Utlsn '!C30*1175/100000</f>
        <v>42.150635174999998</v>
      </c>
      <c r="D30" s="371">
        <v>0</v>
      </c>
      <c r="E30" s="371">
        <v>35.39</v>
      </c>
      <c r="F30" s="370">
        <v>0</v>
      </c>
      <c r="G30" s="371">
        <v>117.5</v>
      </c>
      <c r="H30" s="370">
        <v>23.119</v>
      </c>
      <c r="I30" s="370">
        <f t="shared" si="0"/>
        <v>12.271000000000001</v>
      </c>
      <c r="J30" s="15"/>
      <c r="K30" s="462">
        <v>35.393888356447498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customFormat="1" x14ac:dyDescent="0.2">
      <c r="A31" s="17">
        <v>20</v>
      </c>
      <c r="B31" s="176" t="s">
        <v>915</v>
      </c>
      <c r="C31" s="370">
        <f>T6_FG_py_Utlsn!C31*1175/100000+'T6A_FG_Upy_Utlsn '!C31*1175/100000</f>
        <v>29.725321549999997</v>
      </c>
      <c r="D31" s="371">
        <v>0</v>
      </c>
      <c r="E31" s="371">
        <v>24.97</v>
      </c>
      <c r="F31" s="370">
        <v>0</v>
      </c>
      <c r="G31" s="371">
        <v>117.5</v>
      </c>
      <c r="H31" s="370">
        <v>8.7929999999999993</v>
      </c>
      <c r="I31" s="370">
        <f t="shared" si="0"/>
        <v>16.177</v>
      </c>
      <c r="J31" s="15"/>
      <c r="K31" s="462">
        <v>24.960352505534999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customFormat="1" x14ac:dyDescent="0.2">
      <c r="A32" s="17">
        <v>21</v>
      </c>
      <c r="B32" s="176" t="s">
        <v>916</v>
      </c>
      <c r="C32" s="370">
        <f>T6_FG_py_Utlsn!C32*1175/100000+'T6A_FG_Upy_Utlsn '!C32*1175/100000</f>
        <v>39.920004599999999</v>
      </c>
      <c r="D32" s="371">
        <v>0</v>
      </c>
      <c r="E32" s="371">
        <v>33.53</v>
      </c>
      <c r="F32" s="370">
        <v>0</v>
      </c>
      <c r="G32" s="371">
        <v>117.5</v>
      </c>
      <c r="H32" s="370">
        <v>29.221</v>
      </c>
      <c r="I32" s="370">
        <f t="shared" si="0"/>
        <v>4.3090000000000011</v>
      </c>
      <c r="J32" s="15"/>
      <c r="K32" s="462">
        <v>33.520827862619996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customFormat="1" x14ac:dyDescent="0.2">
      <c r="A33" s="17">
        <v>22</v>
      </c>
      <c r="B33" s="176" t="s">
        <v>917</v>
      </c>
      <c r="C33" s="370">
        <f>T6_FG_py_Utlsn!C33*1175/100000+'T6A_FG_Upy_Utlsn '!C33*1175/100000</f>
        <v>27.157998249999999</v>
      </c>
      <c r="D33" s="371">
        <v>0</v>
      </c>
      <c r="E33" s="371">
        <v>22.81</v>
      </c>
      <c r="F33" s="370">
        <v>0</v>
      </c>
      <c r="G33" s="371">
        <v>117.5</v>
      </c>
      <c r="H33" s="370">
        <v>15.108000000000001</v>
      </c>
      <c r="I33" s="370">
        <f t="shared" si="0"/>
        <v>7.7019999999999982</v>
      </c>
      <c r="J33" s="15"/>
      <c r="K33" s="462">
        <v>22.804571130524998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customFormat="1" x14ac:dyDescent="0.2">
      <c r="A34" s="17">
        <v>23</v>
      </c>
      <c r="B34" s="176" t="s">
        <v>918</v>
      </c>
      <c r="C34" s="370">
        <f>T6_FG_py_Utlsn!C34*1175/100000+'T6A_FG_Upy_Utlsn '!C34*1175/100000</f>
        <v>50.250474174999994</v>
      </c>
      <c r="D34" s="371">
        <v>0</v>
      </c>
      <c r="E34" s="371">
        <v>42.21</v>
      </c>
      <c r="F34" s="370">
        <v>0</v>
      </c>
      <c r="G34" s="371">
        <v>117.5</v>
      </c>
      <c r="H34" s="370">
        <v>29.869</v>
      </c>
      <c r="I34" s="370">
        <f t="shared" si="0"/>
        <v>12.341000000000001</v>
      </c>
      <c r="J34" s="15"/>
      <c r="K34" s="462">
        <v>42.195323164747492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customFormat="1" x14ac:dyDescent="0.2">
      <c r="A35" s="17">
        <v>24</v>
      </c>
      <c r="B35" s="18" t="s">
        <v>919</v>
      </c>
      <c r="C35" s="370">
        <f>T6_FG_py_Utlsn!C35*1175/100000+'T6A_FG_Upy_Utlsn '!C35*1175/100000</f>
        <v>68.392503550000001</v>
      </c>
      <c r="D35" s="371">
        <v>0</v>
      </c>
      <c r="E35" s="371">
        <v>57.44</v>
      </c>
      <c r="F35" s="370">
        <v>0</v>
      </c>
      <c r="G35" s="371">
        <v>117.5</v>
      </c>
      <c r="H35" s="370">
        <v>27.777999999999999</v>
      </c>
      <c r="I35" s="370">
        <f t="shared" si="0"/>
        <v>29.661999999999999</v>
      </c>
      <c r="J35" s="15"/>
      <c r="K35" s="462">
        <v>57.429185230934998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4" customFormat="1" x14ac:dyDescent="0.2">
      <c r="A36" s="798" t="s">
        <v>18</v>
      </c>
      <c r="B36" s="800"/>
      <c r="C36" s="316">
        <f>SUM(C12:C35)</f>
        <v>1133.1008112999998</v>
      </c>
      <c r="D36" s="316">
        <f t="shared" ref="D36:I36" si="1">SUM(D12:D35)</f>
        <v>0</v>
      </c>
      <c r="E36" s="315">
        <f t="shared" si="1"/>
        <v>951.51</v>
      </c>
      <c r="F36" s="316">
        <f t="shared" si="1"/>
        <v>0</v>
      </c>
      <c r="G36" s="316"/>
      <c r="H36" s="316">
        <f t="shared" si="1"/>
        <v>646.77099999999996</v>
      </c>
      <c r="I36" s="316">
        <f t="shared" si="1"/>
        <v>304.73899999999998</v>
      </c>
      <c r="K36" s="298"/>
    </row>
    <row r="37" spans="1:22" x14ac:dyDescent="0.2">
      <c r="E37" s="28"/>
      <c r="F37" s="28"/>
      <c r="G37" s="28"/>
      <c r="H37" s="20"/>
      <c r="I37" s="20"/>
    </row>
    <row r="38" spans="1:22" x14ac:dyDescent="0.2">
      <c r="E38" s="11"/>
      <c r="F38" s="11"/>
      <c r="G38" s="11"/>
      <c r="H38" s="28"/>
      <c r="I38" s="20"/>
    </row>
    <row r="39" spans="1:22" x14ac:dyDescent="0.2">
      <c r="A39" s="33" t="s">
        <v>11</v>
      </c>
      <c r="E39" s="33"/>
      <c r="F39" s="33"/>
      <c r="G39" s="33"/>
      <c r="I39" s="821" t="s">
        <v>12</v>
      </c>
      <c r="J39" s="821"/>
    </row>
    <row r="40" spans="1:22" x14ac:dyDescent="0.2">
      <c r="E40" s="803" t="s">
        <v>13</v>
      </c>
      <c r="F40" s="803"/>
      <c r="G40" s="803"/>
      <c r="H40" s="803"/>
      <c r="I40" s="803"/>
    </row>
    <row r="41" spans="1:22" x14ac:dyDescent="0.2">
      <c r="E41" s="803" t="s">
        <v>19</v>
      </c>
      <c r="F41" s="803"/>
      <c r="G41" s="803"/>
      <c r="H41" s="803"/>
      <c r="I41" s="803"/>
    </row>
    <row r="42" spans="1:22" x14ac:dyDescent="0.2">
      <c r="I42" s="820" t="s">
        <v>84</v>
      </c>
      <c r="J42" s="820"/>
      <c r="K42" s="820"/>
      <c r="L42" s="820"/>
    </row>
  </sheetData>
  <mergeCells count="8">
    <mergeCell ref="C3:F3"/>
    <mergeCell ref="I42:L42"/>
    <mergeCell ref="D9:I9"/>
    <mergeCell ref="E40:I40"/>
    <mergeCell ref="E41:I41"/>
    <mergeCell ref="A5:I5"/>
    <mergeCell ref="I39:J39"/>
    <mergeCell ref="A36:B36"/>
  </mergeCells>
  <phoneticPr fontId="0" type="noConversion"/>
  <printOptions horizontalCentered="1"/>
  <pageMargins left="0.54" right="0.31" top="0.23622047244094491" bottom="0" header="0.31496062992125984" footer="0.31496062992125984"/>
  <pageSetup paperSize="9" scale="92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Q32"/>
  <sheetViews>
    <sheetView topLeftCell="A14" zoomScaleNormal="100" zoomScaleSheetLayoutView="110" workbookViewId="0">
      <selection activeCell="E26" sqref="E26"/>
    </sheetView>
  </sheetViews>
  <sheetFormatPr defaultColWidth="9.140625" defaultRowHeight="12.75" x14ac:dyDescent="0.2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19" style="15" customWidth="1"/>
    <col min="9" max="16384" width="9.140625" style="15"/>
  </cols>
  <sheetData>
    <row r="1" spans="1:17" customFormat="1" ht="15" x14ac:dyDescent="0.2">
      <c r="D1" s="33"/>
      <c r="E1" s="33"/>
      <c r="F1" s="33"/>
      <c r="G1" s="15"/>
      <c r="H1" s="38" t="s">
        <v>67</v>
      </c>
      <c r="I1" s="33"/>
      <c r="J1" s="40"/>
      <c r="K1" s="40"/>
    </row>
    <row r="2" spans="1:17" customFormat="1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42"/>
      <c r="J2" s="42"/>
      <c r="K2" s="42"/>
    </row>
    <row r="3" spans="1:17" customFormat="1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41"/>
      <c r="J3" s="41"/>
      <c r="K3" s="41"/>
    </row>
    <row r="4" spans="1:17" customFormat="1" ht="10.5" customHeight="1" x14ac:dyDescent="0.2"/>
    <row r="5" spans="1:17" ht="19.5" customHeight="1" x14ac:dyDescent="0.25">
      <c r="A5" s="852" t="s">
        <v>814</v>
      </c>
      <c r="B5" s="930"/>
      <c r="C5" s="930"/>
      <c r="D5" s="930"/>
      <c r="E5" s="930"/>
      <c r="F5" s="930"/>
      <c r="G5" s="930"/>
      <c r="H5" s="930"/>
    </row>
    <row r="7" spans="1:17" s="13" customFormat="1" ht="15.75" hidden="1" customHeight="1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17" s="13" customFormat="1" ht="15.75" x14ac:dyDescent="0.25">
      <c r="A8" s="820" t="s">
        <v>158</v>
      </c>
      <c r="B8" s="820"/>
      <c r="C8" s="15"/>
      <c r="D8" s="15"/>
      <c r="E8" s="15"/>
      <c r="F8" s="15"/>
      <c r="G8" s="15"/>
      <c r="H8" s="30" t="s">
        <v>28</v>
      </c>
      <c r="I8" s="15"/>
    </row>
    <row r="9" spans="1:17" s="13" customFormat="1" ht="15.75" x14ac:dyDescent="0.25">
      <c r="A9" s="14"/>
      <c r="B9" s="15"/>
      <c r="C9" s="15"/>
      <c r="D9" s="92"/>
      <c r="E9" s="92"/>
      <c r="G9" s="921" t="s">
        <v>830</v>
      </c>
      <c r="H9" s="921"/>
      <c r="P9" s="108"/>
      <c r="Q9" s="106"/>
    </row>
    <row r="10" spans="1:17" s="34" customFormat="1" ht="55.5" customHeight="1" x14ac:dyDescent="0.2">
      <c r="A10" s="36"/>
      <c r="B10" s="5" t="s">
        <v>29</v>
      </c>
      <c r="C10" s="5" t="s">
        <v>859</v>
      </c>
      <c r="D10" s="5" t="s">
        <v>822</v>
      </c>
      <c r="E10" s="5" t="s">
        <v>219</v>
      </c>
      <c r="F10" s="5" t="s">
        <v>220</v>
      </c>
      <c r="G10" s="5" t="s">
        <v>73</v>
      </c>
      <c r="H10" s="5" t="s">
        <v>860</v>
      </c>
    </row>
    <row r="11" spans="1:17" s="34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17" ht="16.5" customHeight="1" x14ac:dyDescent="0.2">
      <c r="A12" s="27" t="s">
        <v>30</v>
      </c>
      <c r="B12" s="27" t="s">
        <v>31</v>
      </c>
      <c r="C12" s="994">
        <v>458.435</v>
      </c>
      <c r="D12" s="995">
        <v>0</v>
      </c>
      <c r="E12" s="994">
        <v>326.27</v>
      </c>
      <c r="F12" s="995">
        <v>260</v>
      </c>
      <c r="G12" s="996">
        <v>326.27</v>
      </c>
      <c r="H12" s="995">
        <f>D12+E12-G12</f>
        <v>0</v>
      </c>
    </row>
    <row r="13" spans="1:17" ht="20.25" customHeight="1" x14ac:dyDescent="0.2">
      <c r="A13" s="18"/>
      <c r="B13" s="18" t="s">
        <v>32</v>
      </c>
      <c r="C13" s="994"/>
      <c r="D13" s="995"/>
      <c r="E13" s="994"/>
      <c r="F13" s="995"/>
      <c r="G13" s="997"/>
      <c r="H13" s="994"/>
    </row>
    <row r="14" spans="1:17" ht="17.25" customHeight="1" x14ac:dyDescent="0.2">
      <c r="A14" s="18"/>
      <c r="B14" s="18" t="s">
        <v>185</v>
      </c>
      <c r="C14" s="994"/>
      <c r="D14" s="995"/>
      <c r="E14" s="994"/>
      <c r="F14" s="995"/>
      <c r="G14" s="997"/>
      <c r="H14" s="994"/>
    </row>
    <row r="15" spans="1:17" s="34" customFormat="1" ht="33.75" customHeight="1" x14ac:dyDescent="0.2">
      <c r="A15" s="35"/>
      <c r="B15" s="35" t="s">
        <v>186</v>
      </c>
      <c r="C15" s="994"/>
      <c r="D15" s="995"/>
      <c r="E15" s="994"/>
      <c r="F15" s="995"/>
      <c r="G15" s="998"/>
      <c r="H15" s="994"/>
    </row>
    <row r="16" spans="1:17" s="77" customFormat="1" ht="15" x14ac:dyDescent="0.2">
      <c r="A16" s="36"/>
      <c r="B16" s="36" t="s">
        <v>33</v>
      </c>
      <c r="C16" s="372">
        <f t="shared" ref="C16:H16" si="0">SUM(C12)</f>
        <v>458.435</v>
      </c>
      <c r="D16" s="373">
        <f t="shared" si="0"/>
        <v>0</v>
      </c>
      <c r="E16" s="372">
        <f t="shared" si="0"/>
        <v>326.27</v>
      </c>
      <c r="F16" s="373">
        <f t="shared" si="0"/>
        <v>260</v>
      </c>
      <c r="G16" s="372">
        <f t="shared" si="0"/>
        <v>326.27</v>
      </c>
      <c r="H16" s="373">
        <f t="shared" si="0"/>
        <v>0</v>
      </c>
    </row>
    <row r="17" spans="1:9" s="34" customFormat="1" ht="40.5" customHeight="1" x14ac:dyDescent="0.2">
      <c r="A17" s="36" t="s">
        <v>34</v>
      </c>
      <c r="B17" s="36" t="s">
        <v>218</v>
      </c>
      <c r="C17" s="990">
        <v>458.43799999999999</v>
      </c>
      <c r="D17" s="989">
        <v>0</v>
      </c>
      <c r="E17" s="990">
        <f>920.28-326.27</f>
        <v>594.01</v>
      </c>
      <c r="F17" s="989">
        <f>276.4-260</f>
        <v>16.399999999999977</v>
      </c>
      <c r="G17" s="991">
        <f>71.54+480</f>
        <v>551.54</v>
      </c>
      <c r="H17" s="989">
        <f>D17+E17-G17</f>
        <v>42.470000000000027</v>
      </c>
    </row>
    <row r="18" spans="1:9" ht="28.5" customHeight="1" x14ac:dyDescent="0.2">
      <c r="A18" s="18"/>
      <c r="B18" s="132" t="s">
        <v>188</v>
      </c>
      <c r="C18" s="990"/>
      <c r="D18" s="989"/>
      <c r="E18" s="990"/>
      <c r="F18" s="989"/>
      <c r="G18" s="992"/>
      <c r="H18" s="990"/>
    </row>
    <row r="19" spans="1:9" ht="19.5" customHeight="1" x14ac:dyDescent="0.2">
      <c r="A19" s="18"/>
      <c r="B19" s="35" t="s">
        <v>35</v>
      </c>
      <c r="C19" s="990"/>
      <c r="D19" s="989"/>
      <c r="E19" s="990"/>
      <c r="F19" s="989"/>
      <c r="G19" s="992"/>
      <c r="H19" s="990"/>
    </row>
    <row r="20" spans="1:9" ht="21.75" customHeight="1" x14ac:dyDescent="0.2">
      <c r="A20" s="18"/>
      <c r="B20" s="35" t="s">
        <v>189</v>
      </c>
      <c r="C20" s="990"/>
      <c r="D20" s="989"/>
      <c r="E20" s="990"/>
      <c r="F20" s="989"/>
      <c r="G20" s="992"/>
      <c r="H20" s="990"/>
    </row>
    <row r="21" spans="1:9" s="34" customFormat="1" ht="27.75" customHeight="1" x14ac:dyDescent="0.2">
      <c r="A21" s="35"/>
      <c r="B21" s="35" t="s">
        <v>36</v>
      </c>
      <c r="C21" s="990"/>
      <c r="D21" s="989"/>
      <c r="E21" s="990"/>
      <c r="F21" s="989"/>
      <c r="G21" s="992"/>
      <c r="H21" s="990"/>
    </row>
    <row r="22" spans="1:9" s="34" customFormat="1" ht="19.5" customHeight="1" x14ac:dyDescent="0.2">
      <c r="A22" s="35"/>
      <c r="B22" s="35" t="s">
        <v>187</v>
      </c>
      <c r="C22" s="990"/>
      <c r="D22" s="989"/>
      <c r="E22" s="990"/>
      <c r="F22" s="989"/>
      <c r="G22" s="992"/>
      <c r="H22" s="990"/>
    </row>
    <row r="23" spans="1:9" s="34" customFormat="1" ht="27.75" customHeight="1" x14ac:dyDescent="0.2">
      <c r="A23" s="35"/>
      <c r="B23" s="35" t="s">
        <v>190</v>
      </c>
      <c r="C23" s="990"/>
      <c r="D23" s="989"/>
      <c r="E23" s="990"/>
      <c r="F23" s="989"/>
      <c r="G23" s="992"/>
      <c r="H23" s="990"/>
    </row>
    <row r="24" spans="1:9" s="34" customFormat="1" ht="18.75" customHeight="1" x14ac:dyDescent="0.2">
      <c r="A24" s="36"/>
      <c r="B24" s="35" t="s">
        <v>191</v>
      </c>
      <c r="C24" s="990"/>
      <c r="D24" s="989"/>
      <c r="E24" s="990"/>
      <c r="F24" s="989"/>
      <c r="G24" s="993"/>
      <c r="H24" s="990"/>
    </row>
    <row r="25" spans="1:9" s="77" customFormat="1" ht="19.5" customHeight="1" x14ac:dyDescent="0.2">
      <c r="A25" s="36"/>
      <c r="B25" s="36" t="s">
        <v>33</v>
      </c>
      <c r="C25" s="373">
        <f t="shared" ref="C25:H25" si="1">SUM(C17)</f>
        <v>458.43799999999999</v>
      </c>
      <c r="D25" s="373">
        <f t="shared" si="1"/>
        <v>0</v>
      </c>
      <c r="E25" s="373">
        <f t="shared" si="1"/>
        <v>594.01</v>
      </c>
      <c r="F25" s="373">
        <f t="shared" si="1"/>
        <v>16.399999999999977</v>
      </c>
      <c r="G25" s="373">
        <f t="shared" si="1"/>
        <v>551.54</v>
      </c>
      <c r="H25" s="373">
        <f t="shared" si="1"/>
        <v>42.470000000000027</v>
      </c>
    </row>
    <row r="26" spans="1:9" s="14" customFormat="1" ht="15" x14ac:dyDescent="0.2">
      <c r="A26" s="27"/>
      <c r="B26" s="27" t="s">
        <v>37</v>
      </c>
      <c r="C26" s="787">
        <f t="shared" ref="C26:H26" si="2">C25+C16</f>
        <v>916.87300000000005</v>
      </c>
      <c r="D26" s="373">
        <f t="shared" si="2"/>
        <v>0</v>
      </c>
      <c r="E26" s="787">
        <f t="shared" si="2"/>
        <v>920.28</v>
      </c>
      <c r="F26" s="373">
        <f t="shared" si="2"/>
        <v>276.39999999999998</v>
      </c>
      <c r="G26" s="373">
        <f t="shared" si="2"/>
        <v>877.81</v>
      </c>
      <c r="H26" s="373">
        <f t="shared" si="2"/>
        <v>42.470000000000027</v>
      </c>
    </row>
    <row r="27" spans="1:9" s="34" customFormat="1" ht="15.75" customHeight="1" x14ac:dyDescent="0.2"/>
    <row r="28" spans="1:9" s="34" customFormat="1" ht="15.75" customHeight="1" x14ac:dyDescent="0.2"/>
    <row r="29" spans="1:9" ht="13.15" customHeight="1" x14ac:dyDescent="0.2">
      <c r="B29" s="14" t="s">
        <v>11</v>
      </c>
      <c r="C29" s="14"/>
      <c r="D29" s="14"/>
      <c r="E29" s="14"/>
      <c r="F29" s="14"/>
      <c r="G29" s="821" t="s">
        <v>12</v>
      </c>
      <c r="H29" s="821"/>
    </row>
    <row r="30" spans="1:9" ht="13.9" customHeight="1" x14ac:dyDescent="0.2">
      <c r="B30" s="803" t="s">
        <v>13</v>
      </c>
      <c r="C30" s="803"/>
      <c r="D30" s="803"/>
      <c r="E30" s="803"/>
      <c r="F30" s="803"/>
      <c r="G30" s="803"/>
      <c r="H30" s="803"/>
    </row>
    <row r="31" spans="1:9" ht="12.6" customHeight="1" x14ac:dyDescent="0.2">
      <c r="B31" s="803" t="s">
        <v>19</v>
      </c>
      <c r="C31" s="803"/>
      <c r="D31" s="803"/>
      <c r="E31" s="803"/>
      <c r="F31" s="803"/>
      <c r="G31" s="803"/>
      <c r="H31" s="803"/>
    </row>
    <row r="32" spans="1:9" x14ac:dyDescent="0.2">
      <c r="B32" s="14"/>
      <c r="C32" s="14"/>
      <c r="D32" s="14"/>
      <c r="E32" s="14"/>
      <c r="F32" s="14"/>
      <c r="G32" s="820" t="s">
        <v>84</v>
      </c>
      <c r="H32" s="820"/>
      <c r="I32" s="820"/>
    </row>
  </sheetData>
  <mergeCells count="21">
    <mergeCell ref="A2:H2"/>
    <mergeCell ref="A3:H3"/>
    <mergeCell ref="C12:C15"/>
    <mergeCell ref="D12:D15"/>
    <mergeCell ref="F12:F15"/>
    <mergeCell ref="G12:G15"/>
    <mergeCell ref="E12:E15"/>
    <mergeCell ref="A8:B8"/>
    <mergeCell ref="A5:H5"/>
    <mergeCell ref="H12:H15"/>
    <mergeCell ref="G9:H9"/>
    <mergeCell ref="D17:D24"/>
    <mergeCell ref="G32:I32"/>
    <mergeCell ref="B31:H31"/>
    <mergeCell ref="C17:C24"/>
    <mergeCell ref="H17:H24"/>
    <mergeCell ref="B30:H30"/>
    <mergeCell ref="E17:E24"/>
    <mergeCell ref="G29:H29"/>
    <mergeCell ref="G17:G24"/>
    <mergeCell ref="F17:F24"/>
  </mergeCells>
  <phoneticPr fontId="0" type="noConversion"/>
  <printOptions horizontalCentered="1"/>
  <pageMargins left="0.49" right="0.2" top="0.23622047244094491" bottom="0" header="0.26" footer="0.17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13"/>
  <sheetViews>
    <sheetView zoomScaleSheetLayoutView="90" workbookViewId="0">
      <selection activeCell="H19" sqref="B4:J19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797"/>
      <c r="C4" s="797"/>
      <c r="D4" s="797"/>
      <c r="E4" s="797"/>
      <c r="F4" s="797"/>
      <c r="G4" s="797"/>
      <c r="H4" s="797"/>
    </row>
    <row r="5" spans="2:8" ht="12.75" customHeight="1" x14ac:dyDescent="0.2">
      <c r="B5" s="797"/>
      <c r="C5" s="797"/>
      <c r="D5" s="797"/>
      <c r="E5" s="797"/>
      <c r="F5" s="797"/>
      <c r="G5" s="797"/>
      <c r="H5" s="797"/>
    </row>
    <row r="6" spans="2:8" ht="12.75" customHeight="1" x14ac:dyDescent="0.2">
      <c r="B6" s="797"/>
      <c r="C6" s="797"/>
      <c r="D6" s="797"/>
      <c r="E6" s="797"/>
      <c r="F6" s="797"/>
      <c r="G6" s="797"/>
      <c r="H6" s="797"/>
    </row>
    <row r="7" spans="2:8" ht="12.75" customHeight="1" x14ac:dyDescent="0.2">
      <c r="B7" s="797"/>
      <c r="C7" s="797"/>
      <c r="D7" s="797"/>
      <c r="E7" s="797"/>
      <c r="F7" s="797"/>
      <c r="G7" s="797"/>
      <c r="H7" s="797"/>
    </row>
    <row r="8" spans="2:8" ht="12.75" customHeight="1" x14ac:dyDescent="0.2">
      <c r="B8" s="797"/>
      <c r="C8" s="797"/>
      <c r="D8" s="797"/>
      <c r="E8" s="797"/>
      <c r="F8" s="797"/>
      <c r="G8" s="797"/>
      <c r="H8" s="797"/>
    </row>
    <row r="9" spans="2:8" ht="12.75" customHeight="1" x14ac:dyDescent="0.2">
      <c r="B9" s="797"/>
      <c r="C9" s="797"/>
      <c r="D9" s="797"/>
      <c r="E9" s="797"/>
      <c r="F9" s="797"/>
      <c r="G9" s="797"/>
      <c r="H9" s="797"/>
    </row>
    <row r="10" spans="2:8" ht="12.75" customHeight="1" x14ac:dyDescent="0.2">
      <c r="B10" s="797"/>
      <c r="C10" s="797"/>
      <c r="D10" s="797"/>
      <c r="E10" s="797"/>
      <c r="F10" s="797"/>
      <c r="G10" s="797"/>
      <c r="H10" s="797"/>
    </row>
    <row r="11" spans="2:8" ht="12.75" customHeight="1" x14ac:dyDescent="0.2">
      <c r="B11" s="797"/>
      <c r="C11" s="797"/>
      <c r="D11" s="797"/>
      <c r="E11" s="797"/>
      <c r="F11" s="797"/>
      <c r="G11" s="797"/>
      <c r="H11" s="797"/>
    </row>
    <row r="12" spans="2:8" ht="12.75" customHeight="1" x14ac:dyDescent="0.2">
      <c r="B12" s="797"/>
      <c r="C12" s="797"/>
      <c r="D12" s="797"/>
      <c r="E12" s="797"/>
      <c r="F12" s="797"/>
      <c r="G12" s="797"/>
      <c r="H12" s="797"/>
    </row>
    <row r="13" spans="2:8" ht="12.75" customHeight="1" x14ac:dyDescent="0.2">
      <c r="B13" s="797"/>
      <c r="C13" s="797"/>
      <c r="D13" s="797"/>
      <c r="E13" s="797"/>
      <c r="F13" s="797"/>
      <c r="G13" s="797"/>
      <c r="H13" s="797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45"/>
  <sheetViews>
    <sheetView topLeftCell="A22" zoomScaleNormal="100" zoomScaleSheetLayoutView="100" workbookViewId="0">
      <selection activeCell="E13" sqref="E13"/>
    </sheetView>
  </sheetViews>
  <sheetFormatPr defaultColWidth="9.140625" defaultRowHeight="12.75" x14ac:dyDescent="0.2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28.28515625" style="15" customWidth="1"/>
    <col min="6" max="16384" width="9.140625" style="15"/>
  </cols>
  <sheetData>
    <row r="1" spans="1:22" customFormat="1" ht="15" x14ac:dyDescent="0.2">
      <c r="E1" s="38" t="s">
        <v>504</v>
      </c>
      <c r="F1" s="40"/>
    </row>
    <row r="2" spans="1:22" customFormat="1" ht="15" x14ac:dyDescent="0.2">
      <c r="D2" s="42" t="s">
        <v>0</v>
      </c>
      <c r="E2" s="42"/>
      <c r="F2" s="42"/>
    </row>
    <row r="3" spans="1:22" customFormat="1" ht="20.25" x14ac:dyDescent="0.3">
      <c r="B3" s="139"/>
      <c r="C3" s="851" t="s">
        <v>740</v>
      </c>
      <c r="D3" s="851"/>
      <c r="E3" s="851"/>
      <c r="F3" s="41"/>
    </row>
    <row r="4" spans="1:22" customFormat="1" ht="10.5" customHeight="1" x14ac:dyDescent="0.2"/>
    <row r="5" spans="1:22" x14ac:dyDescent="0.2">
      <c r="A5" s="988" t="s">
        <v>815</v>
      </c>
      <c r="B5" s="988"/>
      <c r="C5" s="988"/>
      <c r="D5" s="988"/>
      <c r="E5" s="988"/>
    </row>
    <row r="7" spans="1:22" ht="0.75" customHeight="1" x14ac:dyDescent="0.2"/>
    <row r="8" spans="1:22" x14ac:dyDescent="0.2">
      <c r="A8" s="14" t="s">
        <v>925</v>
      </c>
    </row>
    <row r="9" spans="1:22" x14ac:dyDescent="0.2">
      <c r="D9" s="927" t="s">
        <v>830</v>
      </c>
      <c r="E9" s="927"/>
      <c r="Q9" s="18"/>
      <c r="R9" s="20"/>
    </row>
    <row r="10" spans="1:22" ht="26.25" customHeight="1" x14ac:dyDescent="0.2">
      <c r="A10" s="834" t="s">
        <v>2</v>
      </c>
      <c r="B10" s="834" t="s">
        <v>3</v>
      </c>
      <c r="C10" s="999" t="s">
        <v>500</v>
      </c>
      <c r="D10" s="999"/>
      <c r="E10" s="999"/>
      <c r="Q10" s="20"/>
      <c r="R10" s="20"/>
    </row>
    <row r="11" spans="1:22" ht="56.25" customHeight="1" x14ac:dyDescent="0.2">
      <c r="A11" s="834"/>
      <c r="B11" s="834"/>
      <c r="C11" s="5" t="s">
        <v>502</v>
      </c>
      <c r="D11" s="5" t="s">
        <v>503</v>
      </c>
      <c r="E11" s="5" t="s">
        <v>501</v>
      </c>
    </row>
    <row r="12" spans="1:22" s="101" customFormat="1" ht="15.75" customHeight="1" x14ac:dyDescent="0.2">
      <c r="A12" s="64">
        <v>1</v>
      </c>
      <c r="B12" s="63">
        <v>2</v>
      </c>
      <c r="C12" s="64">
        <v>3</v>
      </c>
      <c r="D12" s="63">
        <v>4</v>
      </c>
      <c r="E12" s="64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customFormat="1" ht="15.75" x14ac:dyDescent="0.2">
      <c r="A13" s="17">
        <v>1</v>
      </c>
      <c r="B13" s="176" t="s">
        <v>896</v>
      </c>
      <c r="C13" s="395">
        <v>2</v>
      </c>
      <c r="D13" s="395">
        <v>9</v>
      </c>
      <c r="E13" s="395">
        <f>'Mode of cooking'!C10</f>
        <v>2177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customFormat="1" ht="15.75" x14ac:dyDescent="0.2">
      <c r="A14" s="17">
        <v>2</v>
      </c>
      <c r="B14" s="176" t="s">
        <v>897</v>
      </c>
      <c r="C14" s="395">
        <v>3</v>
      </c>
      <c r="D14" s="395">
        <v>7</v>
      </c>
      <c r="E14" s="395">
        <f>'Mode of cooking'!C11</f>
        <v>868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customFormat="1" ht="15.75" x14ac:dyDescent="0.2">
      <c r="A15" s="17">
        <v>3</v>
      </c>
      <c r="B15" s="176" t="s">
        <v>898</v>
      </c>
      <c r="C15" s="395">
        <v>3</v>
      </c>
      <c r="D15" s="395">
        <v>5</v>
      </c>
      <c r="E15" s="395">
        <f>'Mode of cooking'!C12</f>
        <v>491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customFormat="1" ht="15.75" x14ac:dyDescent="0.2">
      <c r="A16" s="17">
        <v>4</v>
      </c>
      <c r="B16" s="176" t="s">
        <v>899</v>
      </c>
      <c r="C16" s="395">
        <v>0</v>
      </c>
      <c r="D16" s="395">
        <v>5</v>
      </c>
      <c r="E16" s="395">
        <f>'Mode of cooking'!C13</f>
        <v>1519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customFormat="1" ht="15.75" x14ac:dyDescent="0.2">
      <c r="A17" s="17">
        <v>5</v>
      </c>
      <c r="B17" s="176" t="s">
        <v>900</v>
      </c>
      <c r="C17" s="395">
        <v>0</v>
      </c>
      <c r="D17" s="395">
        <v>2</v>
      </c>
      <c r="E17" s="395">
        <f>'Mode of cooking'!C14</f>
        <v>968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customFormat="1" ht="15.75" x14ac:dyDescent="0.2">
      <c r="A18" s="17">
        <v>6</v>
      </c>
      <c r="B18" s="176" t="s">
        <v>901</v>
      </c>
      <c r="C18" s="395">
        <v>4</v>
      </c>
      <c r="D18" s="395">
        <v>4</v>
      </c>
      <c r="E18" s="395">
        <f>'Mode of cooking'!C15</f>
        <v>1620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customFormat="1" ht="15.75" x14ac:dyDescent="0.2">
      <c r="A19" s="17">
        <v>7</v>
      </c>
      <c r="B19" s="176" t="s">
        <v>902</v>
      </c>
      <c r="C19" s="395">
        <v>0</v>
      </c>
      <c r="D19" s="395">
        <v>2</v>
      </c>
      <c r="E19" s="395">
        <f>'Mode of cooking'!C16</f>
        <v>1381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customFormat="1" ht="15.75" x14ac:dyDescent="0.2">
      <c r="A20" s="17">
        <v>8</v>
      </c>
      <c r="B20" s="176" t="s">
        <v>903</v>
      </c>
      <c r="C20" s="395">
        <v>0</v>
      </c>
      <c r="D20" s="395">
        <v>3</v>
      </c>
      <c r="E20" s="395">
        <f>'Mode of cooking'!C17</f>
        <v>2066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customFormat="1" ht="15.75" x14ac:dyDescent="0.2">
      <c r="A21" s="17">
        <v>9</v>
      </c>
      <c r="B21" s="176" t="s">
        <v>904</v>
      </c>
      <c r="C21" s="395">
        <v>1</v>
      </c>
      <c r="D21" s="395">
        <v>5</v>
      </c>
      <c r="E21" s="395">
        <f>'Mode of cooking'!C18</f>
        <v>2499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customFormat="1" ht="15.75" x14ac:dyDescent="0.2">
      <c r="A22" s="17">
        <v>10</v>
      </c>
      <c r="B22" s="176" t="s">
        <v>905</v>
      </c>
      <c r="C22" s="395">
        <v>0</v>
      </c>
      <c r="D22" s="395">
        <v>0</v>
      </c>
      <c r="E22" s="395">
        <f>'Mode of cooking'!C19</f>
        <v>1037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customFormat="1" ht="15.75" x14ac:dyDescent="0.2">
      <c r="A23" s="17">
        <v>11</v>
      </c>
      <c r="B23" s="176" t="s">
        <v>906</v>
      </c>
      <c r="C23" s="396">
        <v>0</v>
      </c>
      <c r="D23" s="396">
        <v>2</v>
      </c>
      <c r="E23" s="395">
        <f>'Mode of cooking'!C20</f>
        <v>1420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customFormat="1" ht="15.75" x14ac:dyDescent="0.2">
      <c r="A24" s="17">
        <v>12</v>
      </c>
      <c r="B24" s="269" t="s">
        <v>907</v>
      </c>
      <c r="C24" s="395">
        <v>0</v>
      </c>
      <c r="D24" s="395">
        <v>0</v>
      </c>
      <c r="E24" s="395">
        <f>'Mode of cooking'!C21</f>
        <v>1479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customFormat="1" ht="15.75" x14ac:dyDescent="0.2">
      <c r="A25" s="17">
        <v>13</v>
      </c>
      <c r="B25" s="176" t="s">
        <v>908</v>
      </c>
      <c r="C25" s="397">
        <v>5</v>
      </c>
      <c r="D25" s="397">
        <v>7</v>
      </c>
      <c r="E25" s="395">
        <f>'Mode of cooking'!C22</f>
        <v>587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customFormat="1" ht="15.75" x14ac:dyDescent="0.2">
      <c r="A26" s="17">
        <v>14</v>
      </c>
      <c r="B26" s="176" t="s">
        <v>909</v>
      </c>
      <c r="C26" s="395">
        <v>0</v>
      </c>
      <c r="D26" s="395">
        <v>0</v>
      </c>
      <c r="E26" s="395">
        <f>'Mode of cooking'!C23</f>
        <v>659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customFormat="1" ht="15.75" x14ac:dyDescent="0.2">
      <c r="A27" s="17">
        <v>15</v>
      </c>
      <c r="B27" s="176" t="s">
        <v>910</v>
      </c>
      <c r="C27" s="395">
        <v>0</v>
      </c>
      <c r="D27" s="398" t="s">
        <v>261</v>
      </c>
      <c r="E27" s="395">
        <f>'Mode of cooking'!C24</f>
        <v>1539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customFormat="1" ht="15.75" x14ac:dyDescent="0.2">
      <c r="A28" s="17">
        <v>16</v>
      </c>
      <c r="B28" s="176" t="s">
        <v>911</v>
      </c>
      <c r="C28" s="395">
        <v>0</v>
      </c>
      <c r="D28" s="395">
        <v>6</v>
      </c>
      <c r="E28" s="395">
        <f>'Mode of cooking'!C25</f>
        <v>3136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customFormat="1" ht="16.5" customHeight="1" x14ac:dyDescent="0.2">
      <c r="A29" s="17">
        <v>17</v>
      </c>
      <c r="B29" s="176" t="s">
        <v>912</v>
      </c>
      <c r="C29" s="395">
        <v>0</v>
      </c>
      <c r="D29" s="395">
        <v>2</v>
      </c>
      <c r="E29" s="395">
        <f>'Mode of cooking'!C26</f>
        <v>1694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customFormat="1" ht="15.75" x14ac:dyDescent="0.2">
      <c r="A30" s="17">
        <v>18</v>
      </c>
      <c r="B30" s="176" t="s">
        <v>913</v>
      </c>
      <c r="C30" s="395">
        <v>2</v>
      </c>
      <c r="D30" s="395">
        <v>5</v>
      </c>
      <c r="E30" s="395">
        <f>'Mode of cooking'!C27</f>
        <v>1522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customFormat="1" ht="15.75" x14ac:dyDescent="0.2">
      <c r="A31" s="17">
        <v>19</v>
      </c>
      <c r="B31" s="176" t="s">
        <v>914</v>
      </c>
      <c r="C31" s="395">
        <v>0</v>
      </c>
      <c r="D31" s="395">
        <v>0</v>
      </c>
      <c r="E31" s="395">
        <f>'Mode of cooking'!C28</f>
        <v>2314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customFormat="1" ht="15.75" x14ac:dyDescent="0.2">
      <c r="A32" s="17">
        <v>20</v>
      </c>
      <c r="B32" s="176" t="s">
        <v>915</v>
      </c>
      <c r="C32" s="395">
        <v>0</v>
      </c>
      <c r="D32" s="395">
        <v>0</v>
      </c>
      <c r="E32" s="395">
        <f>'Mode of cooking'!C29</f>
        <v>1015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customFormat="1" ht="15.75" x14ac:dyDescent="0.2">
      <c r="A33" s="17">
        <v>21</v>
      </c>
      <c r="B33" s="176" t="s">
        <v>916</v>
      </c>
      <c r="C33" s="395">
        <v>8</v>
      </c>
      <c r="D33" s="395">
        <v>9</v>
      </c>
      <c r="E33" s="395">
        <f>'Mode of cooking'!C30</f>
        <v>1286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customFormat="1" ht="15.75" x14ac:dyDescent="0.2">
      <c r="A34" s="17">
        <v>22</v>
      </c>
      <c r="B34" s="176" t="s">
        <v>917</v>
      </c>
      <c r="C34" s="395">
        <v>0</v>
      </c>
      <c r="D34" s="395">
        <v>0</v>
      </c>
      <c r="E34" s="395">
        <f>'Mode of cooking'!C31</f>
        <v>1011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customFormat="1" ht="15.75" x14ac:dyDescent="0.2">
      <c r="A35" s="17">
        <v>23</v>
      </c>
      <c r="B35" s="176" t="s">
        <v>918</v>
      </c>
      <c r="C35" s="395">
        <v>1</v>
      </c>
      <c r="D35" s="395">
        <v>2</v>
      </c>
      <c r="E35" s="395">
        <f>'Mode of cooking'!C32</f>
        <v>1540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customFormat="1" ht="15.75" x14ac:dyDescent="0.2">
      <c r="A36" s="17">
        <v>24</v>
      </c>
      <c r="B36" s="18" t="s">
        <v>919</v>
      </c>
      <c r="C36" s="395">
        <v>0</v>
      </c>
      <c r="D36" s="395">
        <v>1</v>
      </c>
      <c r="E36" s="395">
        <f>'Mode of cooking'!C33</f>
        <v>1945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" customFormat="1" x14ac:dyDescent="0.2">
      <c r="A37" s="802" t="s">
        <v>18</v>
      </c>
      <c r="B37" s="802"/>
      <c r="C37" s="3">
        <f>SUM(C13:C36)</f>
        <v>29</v>
      </c>
      <c r="D37" s="3">
        <f>SUM(D13:D36)</f>
        <v>76</v>
      </c>
      <c r="E37" s="637">
        <f>SUM(E13:E36)</f>
        <v>35773</v>
      </c>
    </row>
    <row r="42" spans="1:22" x14ac:dyDescent="0.2">
      <c r="A42" s="14" t="s">
        <v>11</v>
      </c>
      <c r="B42" s="14"/>
      <c r="C42" s="14"/>
      <c r="D42" s="641"/>
      <c r="E42" s="641" t="s">
        <v>12</v>
      </c>
      <c r="H42" s="633"/>
    </row>
    <row r="43" spans="1:22" ht="12.75" customHeight="1" x14ac:dyDescent="0.2">
      <c r="A43" s="641"/>
      <c r="B43" s="641"/>
      <c r="C43" s="641"/>
      <c r="D43" s="821" t="s">
        <v>13</v>
      </c>
      <c r="E43" s="821"/>
      <c r="F43" s="629"/>
      <c r="G43" s="629"/>
      <c r="H43" s="633"/>
    </row>
    <row r="44" spans="1:22" ht="12.75" customHeight="1" x14ac:dyDescent="0.2">
      <c r="A44" s="803" t="s">
        <v>19</v>
      </c>
      <c r="B44" s="803"/>
      <c r="C44" s="803"/>
      <c r="D44" s="803"/>
      <c r="E44" s="803"/>
      <c r="F44" s="629"/>
      <c r="G44" s="629"/>
      <c r="H44" s="633"/>
    </row>
    <row r="45" spans="1:22" x14ac:dyDescent="0.2">
      <c r="A45" s="14"/>
      <c r="B45" s="14"/>
      <c r="C45" s="14"/>
      <c r="D45" s="33" t="s">
        <v>84</v>
      </c>
      <c r="E45" s="33"/>
      <c r="G45" s="33"/>
      <c r="H45" s="33"/>
    </row>
  </sheetData>
  <mergeCells count="9">
    <mergeCell ref="A44:E44"/>
    <mergeCell ref="A37:B37"/>
    <mergeCell ref="C3:E3"/>
    <mergeCell ref="A5:E5"/>
    <mergeCell ref="C10:E10"/>
    <mergeCell ref="D9:E9"/>
    <mergeCell ref="B10:B11"/>
    <mergeCell ref="A10:A11"/>
    <mergeCell ref="D43:E43"/>
  </mergeCells>
  <printOptions horizontalCentered="1"/>
  <pageMargins left="0.70866141732283472" right="0.31" top="0.23622047244094491" bottom="0" header="0.31496062992125984" footer="0.16"/>
  <pageSetup paperSize="9" scale="84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43"/>
  <sheetViews>
    <sheetView topLeftCell="A16" zoomScaleNormal="100" zoomScaleSheetLayoutView="110" workbookViewId="0">
      <selection activeCell="C29" sqref="C29"/>
    </sheetView>
  </sheetViews>
  <sheetFormatPr defaultRowHeight="12.75" x14ac:dyDescent="0.2"/>
  <cols>
    <col min="1" max="1" width="8.28515625" customWidth="1"/>
    <col min="2" max="2" width="14.85546875" bestFit="1" customWidth="1"/>
    <col min="3" max="3" width="22.7109375" customWidth="1"/>
    <col min="4" max="4" width="13.5703125" customWidth="1"/>
    <col min="5" max="6" width="12.85546875" customWidth="1"/>
    <col min="7" max="7" width="9.28515625" customWidth="1"/>
    <col min="8" max="8" width="15.42578125" customWidth="1"/>
    <col min="9" max="9" width="13.28515625" customWidth="1"/>
  </cols>
  <sheetData>
    <row r="1" spans="1:10" ht="18" x14ac:dyDescent="0.35">
      <c r="H1" s="1004" t="s">
        <v>664</v>
      </c>
      <c r="I1" s="1004"/>
    </row>
    <row r="2" spans="1:10" ht="18" x14ac:dyDescent="0.35">
      <c r="C2" s="918" t="s">
        <v>0</v>
      </c>
      <c r="D2" s="918"/>
      <c r="E2" s="918"/>
      <c r="F2" s="918"/>
      <c r="G2" s="918"/>
      <c r="H2" s="219"/>
      <c r="I2" s="202"/>
      <c r="J2" s="202"/>
    </row>
    <row r="3" spans="1:10" ht="21" x14ac:dyDescent="0.35">
      <c r="B3" s="919" t="s">
        <v>740</v>
      </c>
      <c r="C3" s="919"/>
      <c r="D3" s="919"/>
      <c r="E3" s="919"/>
      <c r="F3" s="919"/>
      <c r="G3" s="919"/>
      <c r="H3" s="203"/>
      <c r="I3" s="203"/>
      <c r="J3" s="203"/>
    </row>
    <row r="4" spans="1:10" ht="20.25" customHeight="1" x14ac:dyDescent="0.2">
      <c r="C4" s="1005" t="s">
        <v>816</v>
      </c>
      <c r="D4" s="1005"/>
      <c r="E4" s="1005"/>
      <c r="F4" s="1005"/>
      <c r="G4" s="1005"/>
      <c r="H4" s="1005"/>
    </row>
    <row r="5" spans="1:10" ht="20.25" customHeight="1" x14ac:dyDescent="0.2">
      <c r="A5" s="46" t="s">
        <v>923</v>
      </c>
      <c r="B5" s="46"/>
      <c r="C5" s="205"/>
      <c r="D5" s="205"/>
      <c r="E5" s="205"/>
      <c r="F5" s="205"/>
      <c r="G5" s="921" t="s">
        <v>830</v>
      </c>
      <c r="H5" s="921"/>
      <c r="I5" s="921"/>
    </row>
    <row r="6" spans="1:10" ht="15" customHeight="1" x14ac:dyDescent="0.2">
      <c r="A6" s="1003" t="s">
        <v>74</v>
      </c>
      <c r="B6" s="1003" t="s">
        <v>38</v>
      </c>
      <c r="C6" s="1003" t="s">
        <v>407</v>
      </c>
      <c r="D6" s="1003" t="s">
        <v>387</v>
      </c>
      <c r="E6" s="1003" t="s">
        <v>386</v>
      </c>
      <c r="F6" s="1003"/>
      <c r="G6" s="1003"/>
      <c r="H6" s="1003" t="s">
        <v>726</v>
      </c>
      <c r="I6" s="1006" t="s">
        <v>411</v>
      </c>
    </row>
    <row r="7" spans="1:10" ht="12.75" customHeight="1" x14ac:dyDescent="0.2">
      <c r="A7" s="1003"/>
      <c r="B7" s="1003"/>
      <c r="C7" s="1003"/>
      <c r="D7" s="1003"/>
      <c r="E7" s="1003" t="s">
        <v>408</v>
      </c>
      <c r="F7" s="1006" t="s">
        <v>409</v>
      </c>
      <c r="G7" s="1003" t="s">
        <v>410</v>
      </c>
      <c r="H7" s="1003"/>
      <c r="I7" s="1007"/>
    </row>
    <row r="8" spans="1:10" ht="20.25" customHeight="1" x14ac:dyDescent="0.2">
      <c r="A8" s="1003"/>
      <c r="B8" s="1003"/>
      <c r="C8" s="1003"/>
      <c r="D8" s="1003"/>
      <c r="E8" s="1003"/>
      <c r="F8" s="1007"/>
      <c r="G8" s="1003"/>
      <c r="H8" s="1003"/>
      <c r="I8" s="1007"/>
    </row>
    <row r="9" spans="1:10" ht="63.75" customHeight="1" x14ac:dyDescent="0.2">
      <c r="A9" s="1003"/>
      <c r="B9" s="1003"/>
      <c r="C9" s="1003"/>
      <c r="D9" s="1003"/>
      <c r="E9" s="1003"/>
      <c r="F9" s="1008"/>
      <c r="G9" s="1003"/>
      <c r="H9" s="1003"/>
      <c r="I9" s="1008"/>
    </row>
    <row r="10" spans="1:10" ht="15" x14ac:dyDescent="0.25">
      <c r="A10" s="207">
        <v>1</v>
      </c>
      <c r="B10" s="207">
        <v>2</v>
      </c>
      <c r="C10" s="208">
        <v>3</v>
      </c>
      <c r="D10" s="207">
        <v>4</v>
      </c>
      <c r="E10" s="207">
        <v>5</v>
      </c>
      <c r="F10" s="208">
        <v>6</v>
      </c>
      <c r="G10" s="207">
        <v>7</v>
      </c>
      <c r="H10" s="207">
        <v>8</v>
      </c>
      <c r="I10" s="208">
        <v>9</v>
      </c>
    </row>
    <row r="11" spans="1:10" x14ac:dyDescent="0.2">
      <c r="A11" s="17">
        <v>1</v>
      </c>
      <c r="B11" s="176" t="s">
        <v>896</v>
      </c>
      <c r="C11" s="324" t="s">
        <v>1069</v>
      </c>
      <c r="D11" s="324">
        <v>266</v>
      </c>
      <c r="E11" s="324" t="s">
        <v>940</v>
      </c>
      <c r="F11" s="324">
        <v>266</v>
      </c>
      <c r="G11" s="324" t="s">
        <v>941</v>
      </c>
      <c r="H11" s="1000" t="s">
        <v>942</v>
      </c>
      <c r="I11" s="324">
        <v>372433</v>
      </c>
    </row>
    <row r="12" spans="1:10" x14ac:dyDescent="0.2">
      <c r="A12" s="17">
        <v>2</v>
      </c>
      <c r="B12" s="176" t="s">
        <v>897</v>
      </c>
      <c r="C12" s="324" t="s">
        <v>1069</v>
      </c>
      <c r="D12" s="324">
        <v>183</v>
      </c>
      <c r="E12" s="324" t="s">
        <v>940</v>
      </c>
      <c r="F12" s="324">
        <v>183</v>
      </c>
      <c r="G12" s="324" t="s">
        <v>941</v>
      </c>
      <c r="H12" s="1001"/>
      <c r="I12" s="324">
        <v>281994</v>
      </c>
    </row>
    <row r="13" spans="1:10" x14ac:dyDescent="0.2">
      <c r="A13" s="17">
        <v>3</v>
      </c>
      <c r="B13" s="176" t="s">
        <v>898</v>
      </c>
      <c r="C13" s="324" t="s">
        <v>1069</v>
      </c>
      <c r="D13" s="324">
        <v>67</v>
      </c>
      <c r="E13" s="324" t="s">
        <v>940</v>
      </c>
      <c r="F13" s="324">
        <v>67</v>
      </c>
      <c r="G13" s="324" t="s">
        <v>941</v>
      </c>
      <c r="H13" s="1001"/>
      <c r="I13" s="324">
        <v>88799</v>
      </c>
    </row>
    <row r="14" spans="1:10" x14ac:dyDescent="0.2">
      <c r="A14" s="17">
        <v>4</v>
      </c>
      <c r="B14" s="176" t="s">
        <v>899</v>
      </c>
      <c r="C14" s="324" t="s">
        <v>1069</v>
      </c>
      <c r="D14" s="324">
        <v>343</v>
      </c>
      <c r="E14" s="324" t="s">
        <v>940</v>
      </c>
      <c r="F14" s="324">
        <v>343</v>
      </c>
      <c r="G14" s="324" t="s">
        <v>941</v>
      </c>
      <c r="H14" s="1001"/>
      <c r="I14" s="324">
        <v>529730</v>
      </c>
    </row>
    <row r="15" spans="1:10" x14ac:dyDescent="0.2">
      <c r="A15" s="17">
        <v>5</v>
      </c>
      <c r="B15" s="176" t="s">
        <v>900</v>
      </c>
      <c r="C15" s="324" t="s">
        <v>1069</v>
      </c>
      <c r="D15" s="324">
        <v>280</v>
      </c>
      <c r="E15" s="324" t="s">
        <v>940</v>
      </c>
      <c r="F15" s="324">
        <v>280</v>
      </c>
      <c r="G15" s="324" t="s">
        <v>941</v>
      </c>
      <c r="H15" s="1001"/>
      <c r="I15" s="324">
        <v>449144</v>
      </c>
    </row>
    <row r="16" spans="1:10" x14ac:dyDescent="0.2">
      <c r="A16" s="17">
        <v>6</v>
      </c>
      <c r="B16" s="176" t="s">
        <v>901</v>
      </c>
      <c r="C16" s="324" t="s">
        <v>1069</v>
      </c>
      <c r="D16" s="324">
        <v>194</v>
      </c>
      <c r="E16" s="324" t="s">
        <v>940</v>
      </c>
      <c r="F16" s="324">
        <v>194</v>
      </c>
      <c r="G16" s="324" t="s">
        <v>941</v>
      </c>
      <c r="H16" s="1001"/>
      <c r="I16" s="324">
        <v>260860</v>
      </c>
    </row>
    <row r="17" spans="1:9" x14ac:dyDescent="0.2">
      <c r="A17" s="17">
        <v>7</v>
      </c>
      <c r="B17" s="176" t="s">
        <v>902</v>
      </c>
      <c r="C17" s="324" t="s">
        <v>1069</v>
      </c>
      <c r="D17" s="324">
        <v>136</v>
      </c>
      <c r="E17" s="324" t="s">
        <v>940</v>
      </c>
      <c r="F17" s="324">
        <v>136</v>
      </c>
      <c r="G17" s="324" t="s">
        <v>941</v>
      </c>
      <c r="H17" s="1001"/>
      <c r="I17" s="324">
        <v>170000</v>
      </c>
    </row>
    <row r="18" spans="1:9" x14ac:dyDescent="0.2">
      <c r="A18" s="17">
        <v>8</v>
      </c>
      <c r="B18" s="176" t="s">
        <v>903</v>
      </c>
      <c r="C18" s="324" t="s">
        <v>1069</v>
      </c>
      <c r="D18" s="324">
        <v>250</v>
      </c>
      <c r="E18" s="324" t="s">
        <v>940</v>
      </c>
      <c r="F18" s="324">
        <v>250</v>
      </c>
      <c r="G18" s="324" t="s">
        <v>941</v>
      </c>
      <c r="H18" s="1001"/>
      <c r="I18" s="324">
        <v>326729</v>
      </c>
    </row>
    <row r="19" spans="1:9" x14ac:dyDescent="0.2">
      <c r="A19" s="17">
        <v>9</v>
      </c>
      <c r="B19" s="176" t="s">
        <v>904</v>
      </c>
      <c r="C19" s="324" t="s">
        <v>1069</v>
      </c>
      <c r="D19" s="324">
        <v>280</v>
      </c>
      <c r="E19" s="324" t="s">
        <v>940</v>
      </c>
      <c r="F19" s="324">
        <v>280</v>
      </c>
      <c r="G19" s="324" t="s">
        <v>941</v>
      </c>
      <c r="H19" s="1001"/>
      <c r="I19" s="324">
        <v>353213</v>
      </c>
    </row>
    <row r="20" spans="1:9" x14ac:dyDescent="0.2">
      <c r="A20" s="17">
        <v>10</v>
      </c>
      <c r="B20" s="176" t="s">
        <v>905</v>
      </c>
      <c r="C20" s="324" t="s">
        <v>1069</v>
      </c>
      <c r="D20" s="324">
        <v>116</v>
      </c>
      <c r="E20" s="324" t="s">
        <v>940</v>
      </c>
      <c r="F20" s="324">
        <v>116</v>
      </c>
      <c r="G20" s="324" t="s">
        <v>941</v>
      </c>
      <c r="H20" s="1001"/>
      <c r="I20" s="324">
        <v>146377</v>
      </c>
    </row>
    <row r="21" spans="1:9" x14ac:dyDescent="0.2">
      <c r="A21" s="17">
        <v>11</v>
      </c>
      <c r="B21" s="176" t="s">
        <v>906</v>
      </c>
      <c r="C21" s="324" t="s">
        <v>1069</v>
      </c>
      <c r="D21" s="324">
        <v>230</v>
      </c>
      <c r="E21" s="324" t="s">
        <v>940</v>
      </c>
      <c r="F21" s="324">
        <v>230</v>
      </c>
      <c r="G21" s="324" t="s">
        <v>941</v>
      </c>
      <c r="H21" s="1001"/>
      <c r="I21" s="324">
        <v>288418</v>
      </c>
    </row>
    <row r="22" spans="1:9" x14ac:dyDescent="0.2">
      <c r="A22" s="17">
        <v>12</v>
      </c>
      <c r="B22" s="269" t="s">
        <v>907</v>
      </c>
      <c r="C22" s="324" t="s">
        <v>1069</v>
      </c>
      <c r="D22" s="324">
        <v>194</v>
      </c>
      <c r="E22" s="324" t="s">
        <v>940</v>
      </c>
      <c r="F22" s="324">
        <v>194</v>
      </c>
      <c r="G22" s="324" t="s">
        <v>941</v>
      </c>
      <c r="H22" s="1001"/>
      <c r="I22" s="324">
        <v>256729</v>
      </c>
    </row>
    <row r="23" spans="1:9" x14ac:dyDescent="0.2">
      <c r="A23" s="17">
        <v>13</v>
      </c>
      <c r="B23" s="176" t="s">
        <v>908</v>
      </c>
      <c r="C23" s="324" t="s">
        <v>1069</v>
      </c>
      <c r="D23" s="324">
        <v>77</v>
      </c>
      <c r="E23" s="324" t="s">
        <v>940</v>
      </c>
      <c r="F23" s="324">
        <v>77</v>
      </c>
      <c r="G23" s="324" t="s">
        <v>941</v>
      </c>
      <c r="H23" s="1001"/>
      <c r="I23" s="324">
        <v>99463</v>
      </c>
    </row>
    <row r="24" spans="1:9" x14ac:dyDescent="0.2">
      <c r="A24" s="17">
        <v>14</v>
      </c>
      <c r="B24" s="176" t="s">
        <v>909</v>
      </c>
      <c r="C24" s="324" t="s">
        <v>1069</v>
      </c>
      <c r="D24" s="324">
        <v>78</v>
      </c>
      <c r="E24" s="324" t="s">
        <v>940</v>
      </c>
      <c r="F24" s="324">
        <v>78</v>
      </c>
      <c r="G24" s="324" t="s">
        <v>941</v>
      </c>
      <c r="H24" s="1001"/>
      <c r="I24" s="324">
        <v>99336</v>
      </c>
    </row>
    <row r="25" spans="1:9" x14ac:dyDescent="0.2">
      <c r="A25" s="17">
        <v>15</v>
      </c>
      <c r="B25" s="176" t="s">
        <v>910</v>
      </c>
      <c r="C25" s="324" t="s">
        <v>1069</v>
      </c>
      <c r="D25" s="324">
        <v>240</v>
      </c>
      <c r="E25" s="324" t="s">
        <v>940</v>
      </c>
      <c r="F25" s="324">
        <v>240</v>
      </c>
      <c r="G25" s="324" t="s">
        <v>941</v>
      </c>
      <c r="H25" s="1001"/>
      <c r="I25" s="324">
        <v>301377</v>
      </c>
    </row>
    <row r="26" spans="1:9" x14ac:dyDescent="0.2">
      <c r="A26" s="17">
        <v>16</v>
      </c>
      <c r="B26" s="176" t="s">
        <v>911</v>
      </c>
      <c r="C26" s="324" t="s">
        <v>1069</v>
      </c>
      <c r="D26" s="324">
        <v>286</v>
      </c>
      <c r="E26" s="324" t="s">
        <v>940</v>
      </c>
      <c r="F26" s="324">
        <v>286</v>
      </c>
      <c r="G26" s="324" t="s">
        <v>941</v>
      </c>
      <c r="H26" s="1001"/>
      <c r="I26" s="324">
        <v>371270</v>
      </c>
    </row>
    <row r="27" spans="1:9" ht="16.5" customHeight="1" x14ac:dyDescent="0.2">
      <c r="A27" s="17">
        <v>17</v>
      </c>
      <c r="B27" s="176" t="s">
        <v>912</v>
      </c>
      <c r="C27" s="324" t="s">
        <v>1069</v>
      </c>
      <c r="D27" s="324">
        <v>212</v>
      </c>
      <c r="E27" s="324" t="s">
        <v>940</v>
      </c>
      <c r="F27" s="324">
        <v>212</v>
      </c>
      <c r="G27" s="324" t="s">
        <v>941</v>
      </c>
      <c r="H27" s="1001"/>
      <c r="I27" s="324">
        <v>269590</v>
      </c>
    </row>
    <row r="28" spans="1:9" x14ac:dyDescent="0.2">
      <c r="A28" s="17">
        <v>18</v>
      </c>
      <c r="B28" s="176" t="s">
        <v>913</v>
      </c>
      <c r="C28" s="324" t="s">
        <v>1069</v>
      </c>
      <c r="D28" s="324">
        <v>178</v>
      </c>
      <c r="E28" s="324" t="s">
        <v>940</v>
      </c>
      <c r="F28" s="324">
        <v>178</v>
      </c>
      <c r="G28" s="324" t="s">
        <v>941</v>
      </c>
      <c r="H28" s="1001"/>
      <c r="I28" s="324">
        <v>227090</v>
      </c>
    </row>
    <row r="29" spans="1:9" x14ac:dyDescent="0.2">
      <c r="A29" s="17">
        <v>19</v>
      </c>
      <c r="B29" s="176" t="s">
        <v>914</v>
      </c>
      <c r="C29" s="324" t="s">
        <v>1069</v>
      </c>
      <c r="D29" s="324">
        <v>312</v>
      </c>
      <c r="E29" s="324" t="s">
        <v>940</v>
      </c>
      <c r="F29" s="324">
        <v>311</v>
      </c>
      <c r="G29" s="324">
        <v>1</v>
      </c>
      <c r="H29" s="1001"/>
      <c r="I29" s="324">
        <v>408028</v>
      </c>
    </row>
    <row r="30" spans="1:9" x14ac:dyDescent="0.2">
      <c r="A30" s="17">
        <v>20</v>
      </c>
      <c r="B30" s="176" t="s">
        <v>915</v>
      </c>
      <c r="C30" s="324" t="s">
        <v>1069</v>
      </c>
      <c r="D30" s="324">
        <v>111</v>
      </c>
      <c r="E30" s="324" t="s">
        <v>940</v>
      </c>
      <c r="F30" s="324">
        <v>111</v>
      </c>
      <c r="G30" s="324" t="s">
        <v>941</v>
      </c>
      <c r="H30" s="1001"/>
      <c r="I30" s="324">
        <v>141045</v>
      </c>
    </row>
    <row r="31" spans="1:9" x14ac:dyDescent="0.2">
      <c r="A31" s="17">
        <v>21</v>
      </c>
      <c r="B31" s="176" t="s">
        <v>916</v>
      </c>
      <c r="C31" s="324" t="s">
        <v>1069</v>
      </c>
      <c r="D31" s="324">
        <v>178</v>
      </c>
      <c r="E31" s="324" t="s">
        <v>940</v>
      </c>
      <c r="F31" s="324">
        <v>178</v>
      </c>
      <c r="G31" s="324" t="s">
        <v>941</v>
      </c>
      <c r="H31" s="1001"/>
      <c r="I31" s="324">
        <v>230762</v>
      </c>
    </row>
    <row r="32" spans="1:9" x14ac:dyDescent="0.2">
      <c r="A32" s="17">
        <v>22</v>
      </c>
      <c r="B32" s="176" t="s">
        <v>917</v>
      </c>
      <c r="C32" s="324" t="s">
        <v>1069</v>
      </c>
      <c r="D32" s="324">
        <v>153</v>
      </c>
      <c r="E32" s="324" t="s">
        <v>940</v>
      </c>
      <c r="F32" s="324">
        <v>153</v>
      </c>
      <c r="G32" s="324" t="s">
        <v>941</v>
      </c>
      <c r="H32" s="1001"/>
      <c r="I32" s="324">
        <v>206397</v>
      </c>
    </row>
    <row r="33" spans="1:9" x14ac:dyDescent="0.2">
      <c r="A33" s="17">
        <v>23</v>
      </c>
      <c r="B33" s="176" t="s">
        <v>918</v>
      </c>
      <c r="C33" s="324" t="s">
        <v>1069</v>
      </c>
      <c r="D33" s="324">
        <v>242</v>
      </c>
      <c r="E33" s="324" t="s">
        <v>940</v>
      </c>
      <c r="F33" s="324">
        <v>242</v>
      </c>
      <c r="G33" s="324" t="s">
        <v>941</v>
      </c>
      <c r="H33" s="1001"/>
      <c r="I33" s="324">
        <v>335089</v>
      </c>
    </row>
    <row r="34" spans="1:9" x14ac:dyDescent="0.2">
      <c r="A34" s="17">
        <v>24</v>
      </c>
      <c r="B34" s="18" t="s">
        <v>919</v>
      </c>
      <c r="C34" s="324" t="s">
        <v>1069</v>
      </c>
      <c r="D34" s="324">
        <v>250</v>
      </c>
      <c r="E34" s="324" t="s">
        <v>940</v>
      </c>
      <c r="F34" s="324">
        <v>250</v>
      </c>
      <c r="G34" s="324" t="s">
        <v>941</v>
      </c>
      <c r="H34" s="1002"/>
      <c r="I34" s="324">
        <v>315713</v>
      </c>
    </row>
    <row r="35" spans="1:9" ht="15" x14ac:dyDescent="0.25">
      <c r="A35" s="983" t="s">
        <v>18</v>
      </c>
      <c r="B35" s="983"/>
      <c r="C35" s="325"/>
      <c r="D35" s="325">
        <f>SUM(D11:D34)</f>
        <v>4856</v>
      </c>
      <c r="E35" s="325"/>
      <c r="F35" s="325">
        <f>SUM(F11:F34)</f>
        <v>4855</v>
      </c>
      <c r="G35" s="325">
        <f>SUM(G11:G34)</f>
        <v>1</v>
      </c>
      <c r="H35" s="325"/>
      <c r="I35" s="325">
        <f>SUM(I11:I34)</f>
        <v>6529586</v>
      </c>
    </row>
    <row r="40" spans="1:9" x14ac:dyDescent="0.2">
      <c r="A40" s="14" t="s">
        <v>11</v>
      </c>
      <c r="B40" s="14"/>
      <c r="C40" s="14"/>
      <c r="H40" s="821" t="s">
        <v>12</v>
      </c>
      <c r="I40" s="821"/>
    </row>
    <row r="41" spans="1:9" ht="12.75" customHeight="1" x14ac:dyDescent="0.2">
      <c r="A41" s="803" t="s">
        <v>13</v>
      </c>
      <c r="B41" s="803"/>
      <c r="C41" s="803"/>
      <c r="D41" s="803"/>
      <c r="E41" s="803"/>
      <c r="F41" s="803"/>
      <c r="G41" s="803"/>
      <c r="H41" s="803"/>
      <c r="I41" s="803"/>
    </row>
    <row r="42" spans="1:9" ht="12.75" customHeight="1" x14ac:dyDescent="0.2">
      <c r="A42" s="803" t="s">
        <v>19</v>
      </c>
      <c r="B42" s="803"/>
      <c r="C42" s="803"/>
      <c r="D42" s="803"/>
      <c r="E42" s="803"/>
      <c r="F42" s="803"/>
      <c r="G42" s="803"/>
      <c r="H42" s="803"/>
      <c r="I42" s="803"/>
    </row>
    <row r="43" spans="1:9" x14ac:dyDescent="0.2">
      <c r="A43" s="14"/>
      <c r="B43" s="14"/>
      <c r="C43" s="14"/>
      <c r="D43" s="14"/>
      <c r="G43" s="33" t="s">
        <v>84</v>
      </c>
    </row>
  </sheetData>
  <mergeCells count="20">
    <mergeCell ref="H1:I1"/>
    <mergeCell ref="C4:H4"/>
    <mergeCell ref="D6:D9"/>
    <mergeCell ref="C2:G2"/>
    <mergeCell ref="B3:G3"/>
    <mergeCell ref="I6:I9"/>
    <mergeCell ref="E7:E9"/>
    <mergeCell ref="F7:F9"/>
    <mergeCell ref="G5:I5"/>
    <mergeCell ref="A6:A9"/>
    <mergeCell ref="G7:G9"/>
    <mergeCell ref="H6:H9"/>
    <mergeCell ref="B6:B9"/>
    <mergeCell ref="C6:C9"/>
    <mergeCell ref="E6:G6"/>
    <mergeCell ref="H40:I40"/>
    <mergeCell ref="A41:I41"/>
    <mergeCell ref="A42:I42"/>
    <mergeCell ref="A35:B35"/>
    <mergeCell ref="H11:H34"/>
  </mergeCells>
  <printOptions horizontalCentered="1"/>
  <pageMargins left="0.70866141732283472" right="0.24" top="0.23622047244094491" bottom="0" header="0.2" footer="0.16"/>
  <pageSetup paperSize="9" scale="9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40"/>
  <sheetViews>
    <sheetView topLeftCell="A4" zoomScale="85" zoomScaleNormal="85" zoomScaleSheetLayoutView="90" workbookViewId="0">
      <selection activeCell="C29" sqref="C29"/>
    </sheetView>
  </sheetViews>
  <sheetFormatPr defaultRowHeight="12.75" x14ac:dyDescent="0.2"/>
  <cols>
    <col min="1" max="1" width="4.85546875" customWidth="1"/>
    <col min="2" max="2" width="15.5703125" customWidth="1"/>
    <col min="6" max="6" width="11.5703125" customWidth="1"/>
    <col min="7" max="7" width="10.42578125" customWidth="1"/>
    <col min="8" max="8" width="44.42578125" bestFit="1" customWidth="1"/>
    <col min="9" max="9" width="7.5703125" customWidth="1"/>
    <col min="10" max="10" width="22.85546875" customWidth="1"/>
  </cols>
  <sheetData>
    <row r="1" spans="1:10" ht="18" x14ac:dyDescent="0.35">
      <c r="A1" s="1012" t="s">
        <v>0</v>
      </c>
      <c r="B1" s="1012"/>
      <c r="C1" s="1012"/>
      <c r="D1" s="1012"/>
      <c r="E1" s="1012"/>
      <c r="F1" s="1012"/>
      <c r="G1" s="1012"/>
      <c r="H1" s="1012"/>
      <c r="I1" s="670"/>
      <c r="J1" s="671" t="s">
        <v>544</v>
      </c>
    </row>
    <row r="2" spans="1:10" ht="21" x14ac:dyDescent="0.35">
      <c r="A2" s="1013" t="s">
        <v>740</v>
      </c>
      <c r="B2" s="1013"/>
      <c r="C2" s="1013"/>
      <c r="D2" s="1013"/>
      <c r="E2" s="1013"/>
      <c r="F2" s="1013"/>
      <c r="G2" s="1013"/>
      <c r="H2" s="1013"/>
      <c r="I2" s="1013"/>
      <c r="J2" s="1013"/>
    </row>
    <row r="3" spans="1:10" ht="15" x14ac:dyDescent="0.3">
      <c r="A3" s="672"/>
      <c r="B3" s="672"/>
      <c r="C3" s="672"/>
      <c r="D3" s="672"/>
      <c r="E3" s="672"/>
      <c r="F3" s="672"/>
      <c r="G3" s="672"/>
      <c r="H3" s="672"/>
      <c r="I3" s="672"/>
      <c r="J3" s="9"/>
    </row>
    <row r="4" spans="1:10" ht="18" x14ac:dyDescent="0.35">
      <c r="A4" s="1012" t="s">
        <v>543</v>
      </c>
      <c r="B4" s="1012"/>
      <c r="C4" s="1012"/>
      <c r="D4" s="1012"/>
      <c r="E4" s="1012"/>
      <c r="F4" s="1012"/>
      <c r="G4" s="1012"/>
      <c r="H4" s="1012"/>
      <c r="I4" s="1012"/>
      <c r="J4" s="9"/>
    </row>
    <row r="5" spans="1:10" ht="15" x14ac:dyDescent="0.3">
      <c r="A5" s="673" t="s">
        <v>920</v>
      </c>
      <c r="B5" s="673"/>
      <c r="C5" s="673"/>
      <c r="D5" s="673"/>
      <c r="E5" s="673"/>
      <c r="F5" s="673"/>
      <c r="G5" s="673"/>
      <c r="H5" s="673"/>
      <c r="I5" s="1010" t="s">
        <v>830</v>
      </c>
      <c r="J5" s="1011"/>
    </row>
    <row r="6" spans="1:10" ht="25.5" customHeight="1" x14ac:dyDescent="0.2">
      <c r="A6" s="1009" t="s">
        <v>2</v>
      </c>
      <c r="B6" s="1009" t="s">
        <v>388</v>
      </c>
      <c r="C6" s="834" t="s">
        <v>389</v>
      </c>
      <c r="D6" s="834"/>
      <c r="E6" s="834"/>
      <c r="F6" s="1009" t="s">
        <v>392</v>
      </c>
      <c r="G6" s="1009"/>
      <c r="H6" s="1009"/>
      <c r="I6" s="1009"/>
      <c r="J6" s="1009" t="s">
        <v>396</v>
      </c>
    </row>
    <row r="7" spans="1:10" ht="38.25" customHeight="1" x14ac:dyDescent="0.2">
      <c r="A7" s="1009"/>
      <c r="B7" s="1009"/>
      <c r="C7" s="639" t="s">
        <v>103</v>
      </c>
      <c r="D7" s="639" t="s">
        <v>390</v>
      </c>
      <c r="E7" s="639" t="s">
        <v>391</v>
      </c>
      <c r="F7" s="646" t="s">
        <v>393</v>
      </c>
      <c r="G7" s="646" t="s">
        <v>394</v>
      </c>
      <c r="H7" s="646" t="s">
        <v>395</v>
      </c>
      <c r="I7" s="646" t="s">
        <v>47</v>
      </c>
      <c r="J7" s="1009"/>
    </row>
    <row r="8" spans="1:10" ht="15" x14ac:dyDescent="0.2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263</v>
      </c>
      <c r="G8" s="175" t="s">
        <v>282</v>
      </c>
      <c r="H8" s="175" t="s">
        <v>283</v>
      </c>
      <c r="I8" s="175" t="s">
        <v>284</v>
      </c>
      <c r="J8" s="175" t="s">
        <v>312</v>
      </c>
    </row>
    <row r="9" spans="1:10" s="507" customFormat="1" ht="18.600000000000001" customHeight="1" x14ac:dyDescent="0.2">
      <c r="A9" s="537">
        <v>1</v>
      </c>
      <c r="B9" s="504" t="s">
        <v>896</v>
      </c>
      <c r="C9" s="175"/>
      <c r="D9" s="175"/>
      <c r="E9" s="538">
        <f>'AT-3'!G9</f>
        <v>2177</v>
      </c>
      <c r="F9" s="175"/>
      <c r="G9" s="175"/>
      <c r="H9" s="189" t="s">
        <v>1004</v>
      </c>
      <c r="I9" s="175"/>
      <c r="J9" s="189"/>
    </row>
    <row r="10" spans="1:10" s="507" customFormat="1" ht="18.600000000000001" customHeight="1" x14ac:dyDescent="0.2">
      <c r="A10" s="537">
        <v>2</v>
      </c>
      <c r="B10" s="504" t="s">
        <v>897</v>
      </c>
      <c r="C10" s="175"/>
      <c r="D10" s="175"/>
      <c r="E10" s="538">
        <f>'AT-3'!G10</f>
        <v>868</v>
      </c>
      <c r="F10" s="175"/>
      <c r="G10" s="175"/>
      <c r="H10" s="189" t="s">
        <v>1004</v>
      </c>
      <c r="I10" s="175"/>
      <c r="J10" s="189"/>
    </row>
    <row r="11" spans="1:10" s="507" customFormat="1" ht="18.600000000000001" customHeight="1" x14ac:dyDescent="0.2">
      <c r="A11" s="537">
        <v>3</v>
      </c>
      <c r="B11" s="504" t="s">
        <v>898</v>
      </c>
      <c r="C11" s="175"/>
      <c r="D11" s="175"/>
      <c r="E11" s="538">
        <f>'AT-3'!G11</f>
        <v>491</v>
      </c>
      <c r="F11" s="175"/>
      <c r="G11" s="175"/>
      <c r="H11" s="189" t="s">
        <v>1004</v>
      </c>
      <c r="I11" s="175"/>
      <c r="J11" s="189"/>
    </row>
    <row r="12" spans="1:10" s="507" customFormat="1" ht="18.600000000000001" customHeight="1" x14ac:dyDescent="0.2">
      <c r="A12" s="537">
        <v>4</v>
      </c>
      <c r="B12" s="504" t="s">
        <v>899</v>
      </c>
      <c r="C12" s="175"/>
      <c r="D12" s="175"/>
      <c r="E12" s="538">
        <f>'AT-3'!G12</f>
        <v>1519</v>
      </c>
      <c r="F12" s="175"/>
      <c r="G12" s="175"/>
      <c r="H12" s="189" t="s">
        <v>1004</v>
      </c>
      <c r="I12" s="175"/>
      <c r="J12" s="189"/>
    </row>
    <row r="13" spans="1:10" s="507" customFormat="1" ht="18.600000000000001" customHeight="1" x14ac:dyDescent="0.2">
      <c r="A13" s="537">
        <v>5</v>
      </c>
      <c r="B13" s="504" t="s">
        <v>900</v>
      </c>
      <c r="C13" s="175"/>
      <c r="D13" s="175"/>
      <c r="E13" s="538">
        <f>'AT-3'!G13</f>
        <v>968</v>
      </c>
      <c r="F13" s="175"/>
      <c r="G13" s="175"/>
      <c r="H13" s="189" t="s">
        <v>1004</v>
      </c>
      <c r="I13" s="175"/>
      <c r="J13" s="189"/>
    </row>
    <row r="14" spans="1:10" s="507" customFormat="1" ht="18.600000000000001" customHeight="1" x14ac:dyDescent="0.2">
      <c r="A14" s="537">
        <v>6</v>
      </c>
      <c r="B14" s="504" t="s">
        <v>901</v>
      </c>
      <c r="C14" s="175"/>
      <c r="D14" s="175"/>
      <c r="E14" s="538">
        <f>'AT-3'!G14</f>
        <v>1620</v>
      </c>
      <c r="F14" s="175"/>
      <c r="G14" s="175"/>
      <c r="H14" s="189" t="s">
        <v>1004</v>
      </c>
      <c r="I14" s="175"/>
      <c r="J14" s="189"/>
    </row>
    <row r="15" spans="1:10" s="507" customFormat="1" ht="18.600000000000001" customHeight="1" x14ac:dyDescent="0.2">
      <c r="A15" s="537">
        <v>7</v>
      </c>
      <c r="B15" s="504" t="s">
        <v>902</v>
      </c>
      <c r="C15" s="175"/>
      <c r="D15" s="175"/>
      <c r="E15" s="538">
        <f>'AT-3'!G15</f>
        <v>1381</v>
      </c>
      <c r="F15" s="175"/>
      <c r="G15" s="175"/>
      <c r="H15" s="189" t="s">
        <v>1004</v>
      </c>
      <c r="I15" s="175"/>
      <c r="J15" s="189"/>
    </row>
    <row r="16" spans="1:10" s="507" customFormat="1" ht="18.600000000000001" customHeight="1" x14ac:dyDescent="0.2">
      <c r="A16" s="537">
        <v>8</v>
      </c>
      <c r="B16" s="504" t="s">
        <v>903</v>
      </c>
      <c r="C16" s="175"/>
      <c r="D16" s="175"/>
      <c r="E16" s="538">
        <f>'AT-3'!G16</f>
        <v>2066</v>
      </c>
      <c r="F16" s="175"/>
      <c r="G16" s="175"/>
      <c r="H16" s="189" t="s">
        <v>1004</v>
      </c>
      <c r="I16" s="175"/>
      <c r="J16" s="189"/>
    </row>
    <row r="17" spans="1:10" s="507" customFormat="1" ht="18.600000000000001" customHeight="1" x14ac:dyDescent="0.2">
      <c r="A17" s="537">
        <v>9</v>
      </c>
      <c r="B17" s="504" t="s">
        <v>904</v>
      </c>
      <c r="C17" s="175"/>
      <c r="D17" s="175"/>
      <c r="E17" s="538">
        <f>'AT-3'!G17</f>
        <v>2499</v>
      </c>
      <c r="F17" s="175"/>
      <c r="G17" s="175"/>
      <c r="H17" s="189" t="s">
        <v>1004</v>
      </c>
      <c r="I17" s="175"/>
      <c r="J17" s="189"/>
    </row>
    <row r="18" spans="1:10" s="507" customFormat="1" ht="18.600000000000001" customHeight="1" x14ac:dyDescent="0.2">
      <c r="A18" s="537">
        <v>10</v>
      </c>
      <c r="B18" s="504" t="s">
        <v>905</v>
      </c>
      <c r="C18" s="175"/>
      <c r="D18" s="175"/>
      <c r="E18" s="538">
        <f>'AT-3'!G18</f>
        <v>1037</v>
      </c>
      <c r="F18" s="175"/>
      <c r="G18" s="175"/>
      <c r="H18" s="189" t="s">
        <v>1004</v>
      </c>
      <c r="I18" s="175"/>
      <c r="J18" s="189"/>
    </row>
    <row r="19" spans="1:10" s="507" customFormat="1" ht="18.600000000000001" customHeight="1" x14ac:dyDescent="0.2">
      <c r="A19" s="537">
        <v>11</v>
      </c>
      <c r="B19" s="504" t="s">
        <v>906</v>
      </c>
      <c r="C19" s="175"/>
      <c r="D19" s="175"/>
      <c r="E19" s="538">
        <f>'AT-3'!G19</f>
        <v>1420</v>
      </c>
      <c r="F19" s="175"/>
      <c r="G19" s="175"/>
      <c r="H19" s="189" t="s">
        <v>1004</v>
      </c>
      <c r="I19" s="175"/>
      <c r="J19" s="189"/>
    </row>
    <row r="20" spans="1:10" s="507" customFormat="1" ht="18.600000000000001" customHeight="1" x14ac:dyDescent="0.2">
      <c r="A20" s="537">
        <v>12</v>
      </c>
      <c r="B20" s="539" t="s">
        <v>907</v>
      </c>
      <c r="C20" s="175"/>
      <c r="D20" s="175"/>
      <c r="E20" s="538">
        <f>'AT-3'!G20</f>
        <v>1479</v>
      </c>
      <c r="F20" s="175"/>
      <c r="G20" s="175"/>
      <c r="H20" s="189" t="s">
        <v>1004</v>
      </c>
      <c r="I20" s="175"/>
      <c r="J20" s="189"/>
    </row>
    <row r="21" spans="1:10" s="507" customFormat="1" ht="18.600000000000001" customHeight="1" x14ac:dyDescent="0.2">
      <c r="A21" s="537">
        <v>13</v>
      </c>
      <c r="B21" s="504" t="s">
        <v>908</v>
      </c>
      <c r="C21" s="175"/>
      <c r="D21" s="175"/>
      <c r="E21" s="538">
        <f>'AT-3'!G21</f>
        <v>587</v>
      </c>
      <c r="F21" s="175"/>
      <c r="G21" s="175"/>
      <c r="H21" s="189" t="s">
        <v>1004</v>
      </c>
      <c r="I21" s="175"/>
      <c r="J21" s="189"/>
    </row>
    <row r="22" spans="1:10" s="507" customFormat="1" ht="18.600000000000001" customHeight="1" x14ac:dyDescent="0.2">
      <c r="A22" s="537">
        <v>14</v>
      </c>
      <c r="B22" s="504" t="s">
        <v>909</v>
      </c>
      <c r="C22" s="175"/>
      <c r="D22" s="175"/>
      <c r="E22" s="538">
        <f>'AT-3'!G22</f>
        <v>659</v>
      </c>
      <c r="F22" s="175"/>
      <c r="G22" s="175"/>
      <c r="H22" s="189" t="s">
        <v>1004</v>
      </c>
      <c r="I22" s="175"/>
      <c r="J22" s="189"/>
    </row>
    <row r="23" spans="1:10" s="507" customFormat="1" ht="18.600000000000001" customHeight="1" x14ac:dyDescent="0.2">
      <c r="A23" s="537">
        <v>15</v>
      </c>
      <c r="B23" s="504" t="s">
        <v>910</v>
      </c>
      <c r="C23" s="175"/>
      <c r="D23" s="175"/>
      <c r="E23" s="538">
        <f>'AT-3'!G23</f>
        <v>1539</v>
      </c>
      <c r="F23" s="175"/>
      <c r="G23" s="175"/>
      <c r="H23" s="189" t="s">
        <v>1004</v>
      </c>
      <c r="I23" s="175"/>
      <c r="J23" s="189"/>
    </row>
    <row r="24" spans="1:10" s="507" customFormat="1" ht="18.600000000000001" customHeight="1" x14ac:dyDescent="0.2">
      <c r="A24" s="537">
        <v>16</v>
      </c>
      <c r="B24" s="504" t="s">
        <v>911</v>
      </c>
      <c r="C24" s="175"/>
      <c r="D24" s="175"/>
      <c r="E24" s="538">
        <f>'AT-3'!G24</f>
        <v>3136</v>
      </c>
      <c r="F24" s="175"/>
      <c r="G24" s="175"/>
      <c r="H24" s="189" t="s">
        <v>1004</v>
      </c>
      <c r="I24" s="175"/>
      <c r="J24" s="189"/>
    </row>
    <row r="25" spans="1:10" s="507" customFormat="1" ht="18.600000000000001" customHeight="1" x14ac:dyDescent="0.2">
      <c r="A25" s="537">
        <v>17</v>
      </c>
      <c r="B25" s="504" t="s">
        <v>912</v>
      </c>
      <c r="C25" s="175"/>
      <c r="D25" s="175"/>
      <c r="E25" s="538">
        <f>'AT-3'!G25</f>
        <v>1694</v>
      </c>
      <c r="F25" s="175"/>
      <c r="G25" s="175"/>
      <c r="H25" s="189" t="s">
        <v>1004</v>
      </c>
      <c r="I25" s="175"/>
      <c r="J25" s="189"/>
    </row>
    <row r="26" spans="1:10" s="507" customFormat="1" ht="18.600000000000001" customHeight="1" x14ac:dyDescent="0.2">
      <c r="A26" s="537">
        <v>18</v>
      </c>
      <c r="B26" s="504" t="s">
        <v>913</v>
      </c>
      <c r="C26" s="540"/>
      <c r="D26" s="541"/>
      <c r="E26" s="538">
        <f>'AT-3'!G26</f>
        <v>1522</v>
      </c>
      <c r="F26" s="541"/>
      <c r="G26" s="540"/>
      <c r="H26" s="189" t="s">
        <v>1004</v>
      </c>
      <c r="I26" s="540"/>
      <c r="J26" s="189"/>
    </row>
    <row r="27" spans="1:10" s="507" customFormat="1" ht="18.600000000000001" customHeight="1" x14ac:dyDescent="0.2">
      <c r="A27" s="537">
        <v>19</v>
      </c>
      <c r="B27" s="504" t="s">
        <v>914</v>
      </c>
      <c r="C27" s="540"/>
      <c r="D27" s="541"/>
      <c r="E27" s="538">
        <f>'AT-3'!G27</f>
        <v>2314</v>
      </c>
      <c r="F27" s="541"/>
      <c r="G27" s="540"/>
      <c r="H27" s="189" t="s">
        <v>1004</v>
      </c>
      <c r="I27" s="540"/>
      <c r="J27" s="189"/>
    </row>
    <row r="28" spans="1:10" s="507" customFormat="1" ht="18.600000000000001" customHeight="1" x14ac:dyDescent="0.2">
      <c r="A28" s="537">
        <v>20</v>
      </c>
      <c r="B28" s="504" t="s">
        <v>915</v>
      </c>
      <c r="C28" s="540"/>
      <c r="D28" s="541"/>
      <c r="E28" s="538">
        <f>'AT-3'!G28</f>
        <v>1015</v>
      </c>
      <c r="F28" s="541"/>
      <c r="G28" s="540"/>
      <c r="H28" s="189" t="s">
        <v>1004</v>
      </c>
      <c r="I28" s="540"/>
      <c r="J28" s="189"/>
    </row>
    <row r="29" spans="1:10" s="507" customFormat="1" ht="18.600000000000001" customHeight="1" x14ac:dyDescent="0.2">
      <c r="A29" s="537">
        <v>21</v>
      </c>
      <c r="B29" s="504" t="s">
        <v>916</v>
      </c>
      <c r="C29" s="540"/>
      <c r="D29" s="541"/>
      <c r="E29" s="538">
        <f>'AT-3'!G29</f>
        <v>1286</v>
      </c>
      <c r="F29" s="541"/>
      <c r="G29" s="540"/>
      <c r="H29" s="189" t="s">
        <v>1004</v>
      </c>
      <c r="I29" s="540"/>
      <c r="J29" s="189"/>
    </row>
    <row r="30" spans="1:10" s="507" customFormat="1" ht="18.600000000000001" customHeight="1" x14ac:dyDescent="0.2">
      <c r="A30" s="537">
        <v>22</v>
      </c>
      <c r="B30" s="504" t="s">
        <v>917</v>
      </c>
      <c r="C30" s="540"/>
      <c r="D30" s="541"/>
      <c r="E30" s="538">
        <f>'AT-3'!G30</f>
        <v>1011</v>
      </c>
      <c r="F30" s="541"/>
      <c r="G30" s="540"/>
      <c r="H30" s="189" t="s">
        <v>1004</v>
      </c>
      <c r="I30" s="540"/>
      <c r="J30" s="189"/>
    </row>
    <row r="31" spans="1:10" s="507" customFormat="1" ht="18.600000000000001" customHeight="1" x14ac:dyDescent="0.2">
      <c r="A31" s="537">
        <v>23</v>
      </c>
      <c r="B31" s="504" t="s">
        <v>918</v>
      </c>
      <c r="C31" s="540"/>
      <c r="D31" s="541"/>
      <c r="E31" s="538">
        <f>'AT-3'!G31</f>
        <v>1540</v>
      </c>
      <c r="F31" s="541"/>
      <c r="G31" s="540"/>
      <c r="H31" s="189" t="s">
        <v>1004</v>
      </c>
      <c r="I31" s="540"/>
      <c r="J31" s="189"/>
    </row>
    <row r="32" spans="1:10" s="507" customFormat="1" ht="18.600000000000001" customHeight="1" x14ac:dyDescent="0.2">
      <c r="A32" s="537">
        <v>24</v>
      </c>
      <c r="B32" s="541" t="s">
        <v>919</v>
      </c>
      <c r="C32" s="540"/>
      <c r="D32" s="541"/>
      <c r="E32" s="538">
        <f>'AT-3'!G32</f>
        <v>1945</v>
      </c>
      <c r="F32" s="541"/>
      <c r="G32" s="540"/>
      <c r="H32" s="189" t="s">
        <v>1004</v>
      </c>
      <c r="I32" s="540"/>
      <c r="J32" s="189"/>
    </row>
    <row r="33" spans="1:10" s="544" customFormat="1" ht="18.600000000000001" customHeight="1" x14ac:dyDescent="0.2">
      <c r="A33" s="854" t="s">
        <v>18</v>
      </c>
      <c r="B33" s="854"/>
      <c r="C33" s="650"/>
      <c r="D33" s="650"/>
      <c r="E33" s="543">
        <f>SUM(E9:E32)</f>
        <v>35773</v>
      </c>
      <c r="F33" s="650"/>
      <c r="G33" s="650"/>
      <c r="H33" s="650"/>
      <c r="I33" s="650"/>
      <c r="J33" s="650"/>
    </row>
    <row r="37" spans="1:10" x14ac:dyDescent="0.2">
      <c r="A37" s="14" t="s">
        <v>11</v>
      </c>
      <c r="B37" s="14"/>
      <c r="C37" s="14"/>
      <c r="H37" s="821" t="s">
        <v>12</v>
      </c>
      <c r="I37" s="821"/>
    </row>
    <row r="38" spans="1:10" x14ac:dyDescent="0.2">
      <c r="A38" s="803" t="s">
        <v>13</v>
      </c>
      <c r="B38" s="803"/>
      <c r="C38" s="803"/>
      <c r="D38" s="803"/>
      <c r="E38" s="803"/>
      <c r="F38" s="803"/>
      <c r="G38" s="803"/>
      <c r="H38" s="803"/>
      <c r="I38" s="803"/>
    </row>
    <row r="39" spans="1:10" x14ac:dyDescent="0.2">
      <c r="A39" s="803" t="s">
        <v>19</v>
      </c>
      <c r="B39" s="803"/>
      <c r="C39" s="803"/>
      <c r="D39" s="803"/>
      <c r="E39" s="803"/>
      <c r="F39" s="803"/>
      <c r="G39" s="803"/>
      <c r="H39" s="803"/>
      <c r="I39" s="803"/>
    </row>
    <row r="40" spans="1:10" x14ac:dyDescent="0.2">
      <c r="A40" s="14"/>
      <c r="B40" s="14"/>
      <c r="C40" s="14"/>
      <c r="D40" s="14"/>
      <c r="G40" s="33" t="s">
        <v>84</v>
      </c>
    </row>
  </sheetData>
  <mergeCells count="13">
    <mergeCell ref="I5:J5"/>
    <mergeCell ref="J6:J7"/>
    <mergeCell ref="A1:H1"/>
    <mergeCell ref="A2:J2"/>
    <mergeCell ref="A4:I4"/>
    <mergeCell ref="A6:A7"/>
    <mergeCell ref="B6:B7"/>
    <mergeCell ref="H37:I37"/>
    <mergeCell ref="A38:I38"/>
    <mergeCell ref="A39:I39"/>
    <mergeCell ref="A33:B33"/>
    <mergeCell ref="C6:E6"/>
    <mergeCell ref="F6:I6"/>
  </mergeCells>
  <printOptions horizontalCentered="1"/>
  <pageMargins left="0.70866141732283472" right="0.16" top="0.23622047244094491" bottom="0" header="0.26" footer="0.16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38"/>
  <sheetViews>
    <sheetView topLeftCell="A10" zoomScaleNormal="100" zoomScaleSheetLayoutView="100" workbookViewId="0">
      <selection activeCell="C29" sqref="C29"/>
    </sheetView>
  </sheetViews>
  <sheetFormatPr defaultColWidth="9.140625" defaultRowHeight="12.75" x14ac:dyDescent="0.2"/>
  <cols>
    <col min="1" max="1" width="5.28515625" style="178" customWidth="1"/>
    <col min="2" max="2" width="8.140625" style="178" customWidth="1"/>
    <col min="3" max="3" width="32.140625" style="178" customWidth="1"/>
    <col min="4" max="4" width="15.140625" style="178" customWidth="1"/>
    <col min="5" max="6" width="11.7109375" style="178" customWidth="1"/>
    <col min="7" max="7" width="13.7109375" style="178" customWidth="1"/>
    <col min="8" max="8" width="20.140625" style="178" customWidth="1"/>
    <col min="9" max="16384" width="9.140625" style="178"/>
  </cols>
  <sheetData>
    <row r="1" spans="1:8" x14ac:dyDescent="0.2">
      <c r="A1" s="178" t="s">
        <v>10</v>
      </c>
      <c r="H1" s="194" t="s">
        <v>546</v>
      </c>
    </row>
    <row r="2" spans="1:8" s="182" customFormat="1" ht="15.75" x14ac:dyDescent="0.25">
      <c r="A2" s="1021" t="s">
        <v>0</v>
      </c>
      <c r="B2" s="1021"/>
      <c r="C2" s="1021"/>
      <c r="D2" s="1021"/>
      <c r="E2" s="1021"/>
      <c r="F2" s="1021"/>
      <c r="G2" s="1021"/>
      <c r="H2" s="1021"/>
    </row>
    <row r="3" spans="1:8" s="182" customFormat="1" ht="20.25" customHeight="1" x14ac:dyDescent="0.3">
      <c r="A3" s="1022" t="s">
        <v>740</v>
      </c>
      <c r="B3" s="1022"/>
      <c r="C3" s="1022"/>
      <c r="D3" s="1022"/>
      <c r="E3" s="1022"/>
      <c r="F3" s="1022"/>
      <c r="G3" s="1022"/>
      <c r="H3" s="1022"/>
    </row>
    <row r="5" spans="1:8" s="182" customFormat="1" ht="15.75" x14ac:dyDescent="0.25">
      <c r="A5" s="1023" t="s">
        <v>545</v>
      </c>
      <c r="B5" s="1023"/>
      <c r="C5" s="1023"/>
      <c r="D5" s="1023"/>
      <c r="E5" s="1023"/>
      <c r="F5" s="1023"/>
      <c r="G5" s="1023"/>
      <c r="H5" s="1024"/>
    </row>
    <row r="7" spans="1:8" x14ac:dyDescent="0.2">
      <c r="A7" s="183" t="s">
        <v>920</v>
      </c>
      <c r="B7" s="183"/>
      <c r="C7" s="184"/>
      <c r="D7" s="185"/>
      <c r="E7" s="185"/>
      <c r="F7" s="185"/>
      <c r="G7" s="185"/>
    </row>
    <row r="9" spans="1:8" ht="13.9" customHeight="1" x14ac:dyDescent="0.25">
      <c r="A9" s="195"/>
      <c r="B9" s="195"/>
      <c r="C9" s="195"/>
      <c r="D9" s="195"/>
      <c r="E9" s="195"/>
      <c r="F9" s="195"/>
      <c r="G9" s="195"/>
    </row>
    <row r="10" spans="1:8" s="186" customFormat="1" x14ac:dyDescent="0.2">
      <c r="A10" s="178"/>
      <c r="B10" s="178"/>
      <c r="C10" s="178"/>
      <c r="D10" s="178"/>
      <c r="E10" s="178"/>
      <c r="F10" s="178"/>
      <c r="G10" s="921" t="s">
        <v>830</v>
      </c>
      <c r="H10" s="921"/>
    </row>
    <row r="11" spans="1:8" s="186" customFormat="1" ht="39.75" customHeight="1" x14ac:dyDescent="0.2">
      <c r="A11" s="187"/>
      <c r="B11" s="1015" t="s">
        <v>276</v>
      </c>
      <c r="C11" s="1015" t="s">
        <v>277</v>
      </c>
      <c r="D11" s="1017" t="s">
        <v>278</v>
      </c>
      <c r="E11" s="1018"/>
      <c r="F11" s="1018"/>
      <c r="G11" s="1019"/>
      <c r="H11" s="1015" t="s">
        <v>78</v>
      </c>
    </row>
    <row r="12" spans="1:8" s="186" customFormat="1" ht="25.5" x14ac:dyDescent="0.25">
      <c r="A12" s="188"/>
      <c r="B12" s="1016"/>
      <c r="C12" s="1016"/>
      <c r="D12" s="196" t="s">
        <v>279</v>
      </c>
      <c r="E12" s="196" t="s">
        <v>280</v>
      </c>
      <c r="F12" s="196" t="s">
        <v>281</v>
      </c>
      <c r="G12" s="196" t="s">
        <v>18</v>
      </c>
      <c r="H12" s="1016"/>
    </row>
    <row r="13" spans="1:8" s="186" customFormat="1" ht="15" x14ac:dyDescent="0.25">
      <c r="A13" s="188"/>
      <c r="B13" s="197" t="s">
        <v>256</v>
      </c>
      <c r="C13" s="197" t="s">
        <v>257</v>
      </c>
      <c r="D13" s="197" t="s">
        <v>258</v>
      </c>
      <c r="E13" s="197" t="s">
        <v>259</v>
      </c>
      <c r="F13" s="197" t="s">
        <v>260</v>
      </c>
      <c r="G13" s="197" t="s">
        <v>261</v>
      </c>
      <c r="H13" s="197" t="s">
        <v>262</v>
      </c>
    </row>
    <row r="14" spans="1:8" s="198" customFormat="1" ht="15" customHeight="1" x14ac:dyDescent="0.2">
      <c r="B14" s="199" t="s">
        <v>30</v>
      </c>
      <c r="C14" s="1020" t="s">
        <v>285</v>
      </c>
      <c r="D14" s="1020"/>
      <c r="E14" s="1020"/>
      <c r="F14" s="1020"/>
      <c r="G14" s="1020"/>
      <c r="H14" s="1020"/>
    </row>
    <row r="15" spans="1:8" s="201" customFormat="1" x14ac:dyDescent="0.2">
      <c r="B15" s="200"/>
      <c r="C15" s="200" t="s">
        <v>964</v>
      </c>
      <c r="D15" s="199">
        <v>1</v>
      </c>
      <c r="E15" s="200"/>
      <c r="F15" s="200"/>
      <c r="G15" s="408">
        <f>SUM(D15:F15)</f>
        <v>1</v>
      </c>
      <c r="H15" s="200"/>
    </row>
    <row r="16" spans="1:8" ht="14.25" x14ac:dyDescent="0.2">
      <c r="A16" s="191"/>
      <c r="B16" s="126"/>
      <c r="C16" s="200" t="s">
        <v>965</v>
      </c>
      <c r="D16" s="635">
        <v>0</v>
      </c>
      <c r="E16" s="126"/>
      <c r="F16" s="126"/>
      <c r="G16" s="408">
        <f t="shared" ref="G16:G22" si="0">SUM(D16:F16)</f>
        <v>0</v>
      </c>
      <c r="H16" s="126"/>
    </row>
    <row r="17" spans="1:8" x14ac:dyDescent="0.2">
      <c r="B17" s="190"/>
      <c r="C17" s="126" t="s">
        <v>966</v>
      </c>
      <c r="D17" s="635">
        <v>1</v>
      </c>
      <c r="E17" s="127"/>
      <c r="F17" s="127"/>
      <c r="G17" s="408">
        <f t="shared" si="0"/>
        <v>1</v>
      </c>
      <c r="H17" s="126"/>
    </row>
    <row r="18" spans="1:8" x14ac:dyDescent="0.2">
      <c r="B18" s="190"/>
      <c r="C18" s="636" t="s">
        <v>967</v>
      </c>
      <c r="D18" s="635"/>
      <c r="E18" s="126">
        <v>24</v>
      </c>
      <c r="F18" s="126"/>
      <c r="G18" s="408">
        <f t="shared" si="0"/>
        <v>24</v>
      </c>
      <c r="H18" s="126"/>
    </row>
    <row r="19" spans="1:8" x14ac:dyDescent="0.2">
      <c r="B19" s="190"/>
      <c r="C19" s="636" t="s">
        <v>968</v>
      </c>
      <c r="D19" s="635"/>
      <c r="E19" s="126"/>
      <c r="F19" s="126">
        <v>259</v>
      </c>
      <c r="G19" s="408">
        <f t="shared" si="0"/>
        <v>259</v>
      </c>
      <c r="H19" s="126"/>
    </row>
    <row r="20" spans="1:8" x14ac:dyDescent="0.2">
      <c r="B20" s="190"/>
      <c r="C20" s="126" t="s">
        <v>969</v>
      </c>
      <c r="D20" s="635"/>
      <c r="E20" s="126">
        <v>24</v>
      </c>
      <c r="F20" s="126"/>
      <c r="G20" s="408">
        <f t="shared" si="0"/>
        <v>24</v>
      </c>
      <c r="H20" s="126"/>
    </row>
    <row r="21" spans="1:8" x14ac:dyDescent="0.2">
      <c r="B21" s="190"/>
      <c r="C21" s="636" t="s">
        <v>970</v>
      </c>
      <c r="D21" s="635">
        <v>1</v>
      </c>
      <c r="E21" s="126"/>
      <c r="F21" s="126"/>
      <c r="G21" s="408">
        <f t="shared" si="0"/>
        <v>1</v>
      </c>
      <c r="H21" s="126"/>
    </row>
    <row r="22" spans="1:8" x14ac:dyDescent="0.2">
      <c r="B22" s="190"/>
      <c r="C22" s="636" t="s">
        <v>971</v>
      </c>
      <c r="D22" s="635">
        <v>1</v>
      </c>
      <c r="E22" s="126"/>
      <c r="F22" s="126"/>
      <c r="G22" s="408">
        <f t="shared" si="0"/>
        <v>1</v>
      </c>
      <c r="H22" s="126"/>
    </row>
    <row r="23" spans="1:8" s="125" customFormat="1" ht="21.75" customHeight="1" x14ac:dyDescent="0.2">
      <c r="B23" s="199" t="s">
        <v>34</v>
      </c>
      <c r="C23" s="1020" t="s">
        <v>458</v>
      </c>
      <c r="D23" s="1020"/>
      <c r="E23" s="1020"/>
      <c r="F23" s="1020"/>
      <c r="G23" s="1020"/>
      <c r="H23" s="1020"/>
    </row>
    <row r="24" spans="1:8" s="125" customFormat="1" x14ac:dyDescent="0.2">
      <c r="B24" s="199"/>
      <c r="C24" s="200" t="s">
        <v>975</v>
      </c>
      <c r="D24" s="199">
        <v>1</v>
      </c>
      <c r="E24" s="199"/>
      <c r="F24" s="199"/>
      <c r="G24" s="199"/>
      <c r="H24" s="199"/>
    </row>
    <row r="25" spans="1:8" x14ac:dyDescent="0.2">
      <c r="B25" s="126"/>
      <c r="C25" s="636" t="s">
        <v>974</v>
      </c>
      <c r="D25" s="635">
        <v>2</v>
      </c>
      <c r="E25" s="635"/>
      <c r="F25" s="635"/>
      <c r="G25" s="635"/>
      <c r="H25" s="635"/>
    </row>
    <row r="26" spans="1:8" s="125" customFormat="1" x14ac:dyDescent="0.2">
      <c r="A26" s="193" t="s">
        <v>275</v>
      </c>
      <c r="B26" s="192"/>
      <c r="C26" s="200" t="s">
        <v>972</v>
      </c>
      <c r="D26" s="634">
        <v>5</v>
      </c>
      <c r="E26" s="634">
        <v>24</v>
      </c>
      <c r="F26" s="635">
        <v>259</v>
      </c>
      <c r="G26" s="634">
        <f>SUM(D26:F26)</f>
        <v>288</v>
      </c>
      <c r="H26" s="128"/>
    </row>
    <row r="27" spans="1:8" x14ac:dyDescent="0.2">
      <c r="B27" s="126"/>
      <c r="C27" s="636" t="s">
        <v>973</v>
      </c>
      <c r="D27" s="635">
        <v>1</v>
      </c>
      <c r="E27" s="635"/>
      <c r="F27" s="635"/>
      <c r="G27" s="634">
        <f>SUM(D27:F27)</f>
        <v>1</v>
      </c>
      <c r="H27" s="635"/>
    </row>
    <row r="28" spans="1:8" x14ac:dyDescent="0.2">
      <c r="B28" s="126"/>
      <c r="C28" s="636" t="s">
        <v>976</v>
      </c>
      <c r="D28" s="635">
        <v>1</v>
      </c>
      <c r="E28" s="635"/>
      <c r="F28" s="635"/>
      <c r="G28" s="635"/>
      <c r="H28" s="635"/>
    </row>
    <row r="29" spans="1:8" x14ac:dyDescent="0.2">
      <c r="B29" s="126"/>
      <c r="C29" s="636"/>
      <c r="D29" s="635"/>
      <c r="E29" s="635"/>
      <c r="F29" s="635"/>
      <c r="G29" s="635"/>
      <c r="H29" s="635"/>
    </row>
    <row r="30" spans="1:8" x14ac:dyDescent="0.2">
      <c r="B30" s="126"/>
      <c r="C30" s="126"/>
      <c r="D30" s="635"/>
      <c r="E30" s="635"/>
      <c r="F30" s="635"/>
      <c r="G30" s="635"/>
      <c r="H30" s="635"/>
    </row>
    <row r="31" spans="1:8" x14ac:dyDescent="0.2">
      <c r="B31" s="186"/>
      <c r="C31" s="186"/>
      <c r="D31" s="665"/>
      <c r="E31" s="665"/>
      <c r="F31" s="665"/>
      <c r="G31" s="665"/>
      <c r="H31" s="665"/>
    </row>
    <row r="32" spans="1:8" x14ac:dyDescent="0.2">
      <c r="B32" s="186"/>
      <c r="C32" s="186"/>
      <c r="D32" s="665"/>
      <c r="E32" s="665"/>
      <c r="F32" s="665"/>
      <c r="G32" s="665"/>
      <c r="H32" s="665"/>
    </row>
    <row r="33" spans="2:8" x14ac:dyDescent="0.2">
      <c r="B33" s="186"/>
      <c r="C33" s="186"/>
      <c r="D33" s="665"/>
      <c r="E33" s="665"/>
      <c r="F33" s="665"/>
      <c r="G33" s="665"/>
      <c r="H33" s="665"/>
    </row>
    <row r="34" spans="2:8" x14ac:dyDescent="0.2">
      <c r="B34" s="186"/>
      <c r="C34" s="186"/>
      <c r="D34" s="665"/>
      <c r="E34" s="665"/>
      <c r="F34" s="665"/>
      <c r="G34" s="665"/>
      <c r="H34" s="665"/>
    </row>
    <row r="35" spans="2:8" ht="12.75" customHeight="1" x14ac:dyDescent="0.2">
      <c r="D35" s="1014" t="s">
        <v>12</v>
      </c>
      <c r="E35" s="1014"/>
      <c r="F35" s="1014"/>
      <c r="G35" s="1014"/>
    </row>
    <row r="36" spans="2:8" ht="12.75" customHeight="1" x14ac:dyDescent="0.2">
      <c r="D36" s="916" t="s">
        <v>13</v>
      </c>
      <c r="E36" s="916"/>
      <c r="F36" s="916"/>
      <c r="G36" s="916"/>
    </row>
    <row r="37" spans="2:8" ht="12.75" customHeight="1" x14ac:dyDescent="0.2">
      <c r="D37" s="916" t="s">
        <v>87</v>
      </c>
      <c r="E37" s="916"/>
      <c r="F37" s="916"/>
      <c r="G37" s="916"/>
    </row>
    <row r="38" spans="2:8" x14ac:dyDescent="0.2">
      <c r="B38" s="178" t="s">
        <v>11</v>
      </c>
      <c r="E38" s="178" t="s">
        <v>703</v>
      </c>
    </row>
  </sheetData>
  <mergeCells count="13">
    <mergeCell ref="H11:H12"/>
    <mergeCell ref="C14:H14"/>
    <mergeCell ref="C23:H23"/>
    <mergeCell ref="A2:H2"/>
    <mergeCell ref="A3:H3"/>
    <mergeCell ref="A5:H5"/>
    <mergeCell ref="G10:H10"/>
    <mergeCell ref="D35:G35"/>
    <mergeCell ref="D36:G36"/>
    <mergeCell ref="D37:G37"/>
    <mergeCell ref="B11:B12"/>
    <mergeCell ref="C11:C12"/>
    <mergeCell ref="D11:G11"/>
  </mergeCells>
  <printOptions horizontalCentered="1"/>
  <pageMargins left="0.70866141732283472" right="0.16" top="0.23622047244094491" bottom="0" header="0.26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41"/>
  <sheetViews>
    <sheetView zoomScaleNormal="100" zoomScaleSheetLayoutView="100" workbookViewId="0">
      <selection activeCell="E35" sqref="E35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1.7109375" bestFit="1" customWidth="1"/>
  </cols>
  <sheetData>
    <row r="1" spans="1:11" ht="18" x14ac:dyDescent="0.35">
      <c r="A1" s="918" t="s">
        <v>0</v>
      </c>
      <c r="B1" s="918"/>
      <c r="C1" s="918"/>
      <c r="D1" s="918"/>
      <c r="E1" s="918"/>
      <c r="F1" s="918"/>
      <c r="H1" s="170" t="s">
        <v>637</v>
      </c>
    </row>
    <row r="2" spans="1:11" ht="21" x14ac:dyDescent="0.35">
      <c r="A2" s="919" t="s">
        <v>740</v>
      </c>
      <c r="B2" s="919"/>
      <c r="C2" s="919"/>
      <c r="D2" s="919"/>
      <c r="E2" s="919"/>
      <c r="F2" s="919"/>
      <c r="G2" s="919"/>
    </row>
    <row r="3" spans="1:11" ht="18" customHeight="1" x14ac:dyDescent="0.35">
      <c r="A3" s="920" t="s">
        <v>638</v>
      </c>
      <c r="B3" s="920"/>
      <c r="C3" s="920"/>
      <c r="D3" s="920"/>
      <c r="E3" s="920"/>
      <c r="F3" s="920"/>
      <c r="G3" s="920"/>
    </row>
    <row r="4" spans="1:11" ht="15" x14ac:dyDescent="0.3">
      <c r="A4" s="172" t="s">
        <v>920</v>
      </c>
      <c r="B4" s="172"/>
    </row>
    <row r="5" spans="1:11" ht="15" x14ac:dyDescent="0.3">
      <c r="A5" s="172"/>
      <c r="B5" s="172"/>
      <c r="F5" s="921" t="s">
        <v>830</v>
      </c>
      <c r="G5" s="921"/>
      <c r="H5" s="921"/>
    </row>
    <row r="6" spans="1:11" ht="59.25" customHeight="1" x14ac:dyDescent="0.2">
      <c r="A6" s="409" t="s">
        <v>2</v>
      </c>
      <c r="B6" s="204" t="s">
        <v>3</v>
      </c>
      <c r="C6" s="227" t="s">
        <v>639</v>
      </c>
      <c r="D6" s="227" t="s">
        <v>640</v>
      </c>
      <c r="E6" s="227" t="s">
        <v>641</v>
      </c>
      <c r="F6" s="227" t="s">
        <v>642</v>
      </c>
      <c r="G6" s="227" t="s">
        <v>742</v>
      </c>
      <c r="H6" s="227" t="s">
        <v>715</v>
      </c>
    </row>
    <row r="7" spans="1:11" s="170" customFormat="1" ht="15" x14ac:dyDescent="0.25">
      <c r="A7" s="175" t="s">
        <v>256</v>
      </c>
      <c r="B7" s="175" t="s">
        <v>257</v>
      </c>
      <c r="C7" s="175" t="s">
        <v>258</v>
      </c>
      <c r="D7" s="175" t="s">
        <v>259</v>
      </c>
      <c r="E7" s="175" t="s">
        <v>260</v>
      </c>
      <c r="F7" s="175" t="s">
        <v>261</v>
      </c>
      <c r="G7" s="175" t="s">
        <v>262</v>
      </c>
      <c r="H7" s="207">
        <v>8</v>
      </c>
      <c r="I7"/>
      <c r="J7"/>
      <c r="K7"/>
    </row>
    <row r="8" spans="1:11" x14ac:dyDescent="0.2">
      <c r="A8" s="17">
        <v>1</v>
      </c>
      <c r="B8" s="176" t="s">
        <v>896</v>
      </c>
      <c r="C8" s="411">
        <f>'AT-3'!F9</f>
        <v>2177</v>
      </c>
      <c r="D8" s="412">
        <f>E8+F8+G8</f>
        <v>2591</v>
      </c>
      <c r="E8" s="412">
        <v>978</v>
      </c>
      <c r="F8" s="412">
        <v>546</v>
      </c>
      <c r="G8" s="412">
        <v>1067</v>
      </c>
      <c r="H8" s="410" t="s">
        <v>977</v>
      </c>
    </row>
    <row r="9" spans="1:11" x14ac:dyDescent="0.2">
      <c r="A9" s="17">
        <v>2</v>
      </c>
      <c r="B9" s="176" t="s">
        <v>897</v>
      </c>
      <c r="C9" s="411">
        <f>'AT-3'!F10</f>
        <v>868</v>
      </c>
      <c r="D9" s="412">
        <f t="shared" ref="D9:D31" si="0">E9+F9+G9</f>
        <v>528</v>
      </c>
      <c r="E9" s="412">
        <v>103</v>
      </c>
      <c r="F9" s="412">
        <v>0</v>
      </c>
      <c r="G9" s="412">
        <v>425</v>
      </c>
      <c r="H9" s="410" t="s">
        <v>978</v>
      </c>
    </row>
    <row r="10" spans="1:11" x14ac:dyDescent="0.2">
      <c r="A10" s="17">
        <v>3</v>
      </c>
      <c r="B10" s="176" t="s">
        <v>898</v>
      </c>
      <c r="C10" s="411">
        <f>'AT-3'!F11</f>
        <v>491</v>
      </c>
      <c r="D10" s="412">
        <f t="shared" si="0"/>
        <v>311</v>
      </c>
      <c r="E10" s="412">
        <v>37</v>
      </c>
      <c r="F10" s="412">
        <v>33</v>
      </c>
      <c r="G10" s="412">
        <v>241</v>
      </c>
      <c r="H10" s="410" t="s">
        <v>979</v>
      </c>
    </row>
    <row r="11" spans="1:11" x14ac:dyDescent="0.2">
      <c r="A11" s="17">
        <v>4</v>
      </c>
      <c r="B11" s="176" t="s">
        <v>899</v>
      </c>
      <c r="C11" s="411">
        <f>'AT-3'!F12</f>
        <v>1519</v>
      </c>
      <c r="D11" s="412">
        <f t="shared" si="0"/>
        <v>801</v>
      </c>
      <c r="E11" s="412">
        <v>37</v>
      </c>
      <c r="F11" s="412">
        <v>20</v>
      </c>
      <c r="G11" s="412">
        <v>744</v>
      </c>
      <c r="H11" s="410" t="s">
        <v>980</v>
      </c>
    </row>
    <row r="12" spans="1:11" x14ac:dyDescent="0.2">
      <c r="A12" s="17">
        <v>5</v>
      </c>
      <c r="B12" s="176" t="s">
        <v>900</v>
      </c>
      <c r="C12" s="411">
        <f>'AT-3'!F13</f>
        <v>968</v>
      </c>
      <c r="D12" s="412">
        <f t="shared" si="0"/>
        <v>522</v>
      </c>
      <c r="E12" s="412">
        <v>24</v>
      </c>
      <c r="F12" s="412">
        <v>24</v>
      </c>
      <c r="G12" s="412">
        <v>474</v>
      </c>
      <c r="H12" s="410" t="s">
        <v>981</v>
      </c>
    </row>
    <row r="13" spans="1:11" x14ac:dyDescent="0.2">
      <c r="A13" s="17">
        <v>6</v>
      </c>
      <c r="B13" s="176" t="s">
        <v>901</v>
      </c>
      <c r="C13" s="411">
        <f>'AT-3'!F14</f>
        <v>1620</v>
      </c>
      <c r="D13" s="412">
        <f t="shared" si="0"/>
        <v>1719</v>
      </c>
      <c r="E13" s="412">
        <v>307</v>
      </c>
      <c r="F13" s="412">
        <v>618</v>
      </c>
      <c r="G13" s="412">
        <v>794</v>
      </c>
      <c r="H13" s="410" t="s">
        <v>982</v>
      </c>
    </row>
    <row r="14" spans="1:11" x14ac:dyDescent="0.2">
      <c r="A14" s="17">
        <v>7</v>
      </c>
      <c r="B14" s="176" t="s">
        <v>902</v>
      </c>
      <c r="C14" s="411">
        <f>'AT-3'!F15</f>
        <v>1381</v>
      </c>
      <c r="D14" s="412">
        <f t="shared" si="0"/>
        <v>743</v>
      </c>
      <c r="E14" s="412">
        <v>21</v>
      </c>
      <c r="F14" s="412">
        <v>45</v>
      </c>
      <c r="G14" s="412">
        <v>677</v>
      </c>
      <c r="H14" s="410" t="s">
        <v>983</v>
      </c>
    </row>
    <row r="15" spans="1:11" x14ac:dyDescent="0.2">
      <c r="A15" s="17">
        <v>8</v>
      </c>
      <c r="B15" s="176" t="s">
        <v>903</v>
      </c>
      <c r="C15" s="411">
        <f>'AT-3'!F16</f>
        <v>2066</v>
      </c>
      <c r="D15" s="412">
        <f t="shared" si="0"/>
        <v>1103</v>
      </c>
      <c r="E15" s="412">
        <v>55</v>
      </c>
      <c r="F15" s="412">
        <v>36</v>
      </c>
      <c r="G15" s="412">
        <v>1012</v>
      </c>
      <c r="H15" s="410" t="s">
        <v>984</v>
      </c>
    </row>
    <row r="16" spans="1:11" x14ac:dyDescent="0.2">
      <c r="A16" s="17">
        <v>9</v>
      </c>
      <c r="B16" s="176" t="s">
        <v>904</v>
      </c>
      <c r="C16" s="411">
        <f>'AT-3'!F17</f>
        <v>2499</v>
      </c>
      <c r="D16" s="412">
        <f t="shared" si="0"/>
        <v>1505</v>
      </c>
      <c r="E16" s="412">
        <v>170</v>
      </c>
      <c r="F16" s="412">
        <v>110</v>
      </c>
      <c r="G16" s="412">
        <v>1225</v>
      </c>
      <c r="H16" s="410" t="s">
        <v>985</v>
      </c>
    </row>
    <row r="17" spans="1:13" x14ac:dyDescent="0.2">
      <c r="A17" s="17">
        <v>10</v>
      </c>
      <c r="B17" s="176" t="s">
        <v>905</v>
      </c>
      <c r="C17" s="411">
        <f>'AT-3'!F18</f>
        <v>1037</v>
      </c>
      <c r="D17" s="412">
        <f t="shared" si="0"/>
        <v>636</v>
      </c>
      <c r="E17" s="412">
        <v>63</v>
      </c>
      <c r="F17" s="412">
        <v>65</v>
      </c>
      <c r="G17" s="412">
        <v>508</v>
      </c>
      <c r="H17" s="410" t="s">
        <v>986</v>
      </c>
    </row>
    <row r="18" spans="1:13" x14ac:dyDescent="0.2">
      <c r="A18" s="17">
        <v>11</v>
      </c>
      <c r="B18" s="176" t="s">
        <v>906</v>
      </c>
      <c r="C18" s="411">
        <f>'AT-3'!F19</f>
        <v>1420</v>
      </c>
      <c r="D18" s="412">
        <f t="shared" si="0"/>
        <v>804</v>
      </c>
      <c r="E18" s="412">
        <v>54</v>
      </c>
      <c r="F18" s="412">
        <v>54</v>
      </c>
      <c r="G18" s="412">
        <v>696</v>
      </c>
      <c r="H18" s="410" t="s">
        <v>987</v>
      </c>
    </row>
    <row r="19" spans="1:13" x14ac:dyDescent="0.2">
      <c r="A19" s="17">
        <v>12</v>
      </c>
      <c r="B19" s="269" t="s">
        <v>907</v>
      </c>
      <c r="C19" s="411">
        <f>'AT-3'!F20</f>
        <v>1479</v>
      </c>
      <c r="D19" s="412">
        <f t="shared" si="0"/>
        <v>750</v>
      </c>
      <c r="E19" s="412">
        <v>7</v>
      </c>
      <c r="F19" s="412">
        <v>18</v>
      </c>
      <c r="G19" s="412">
        <v>725</v>
      </c>
      <c r="H19" s="410" t="s">
        <v>988</v>
      </c>
    </row>
    <row r="20" spans="1:13" x14ac:dyDescent="0.2">
      <c r="A20" s="17">
        <v>13</v>
      </c>
      <c r="B20" s="176" t="s">
        <v>908</v>
      </c>
      <c r="C20" s="411">
        <f>'AT-3'!F21</f>
        <v>587</v>
      </c>
      <c r="D20" s="412">
        <f t="shared" si="0"/>
        <v>310</v>
      </c>
      <c r="E20" s="412">
        <v>22</v>
      </c>
      <c r="F20" s="412">
        <v>0</v>
      </c>
      <c r="G20" s="412">
        <v>288</v>
      </c>
      <c r="H20" s="410" t="s">
        <v>989</v>
      </c>
    </row>
    <row r="21" spans="1:13" x14ac:dyDescent="0.2">
      <c r="A21" s="17">
        <v>14</v>
      </c>
      <c r="B21" s="176" t="s">
        <v>909</v>
      </c>
      <c r="C21" s="411">
        <f>'AT-3'!F22</f>
        <v>659</v>
      </c>
      <c r="D21" s="412">
        <f t="shared" si="0"/>
        <v>351</v>
      </c>
      <c r="E21" s="412">
        <v>16</v>
      </c>
      <c r="F21" s="412">
        <v>12</v>
      </c>
      <c r="G21" s="412">
        <v>323</v>
      </c>
      <c r="H21" s="410" t="s">
        <v>990</v>
      </c>
    </row>
    <row r="22" spans="1:13" x14ac:dyDescent="0.2">
      <c r="A22" s="17">
        <v>15</v>
      </c>
      <c r="B22" s="176" t="s">
        <v>910</v>
      </c>
      <c r="C22" s="411">
        <f>'AT-3'!F23</f>
        <v>1539</v>
      </c>
      <c r="D22" s="412">
        <f t="shared" si="0"/>
        <v>857</v>
      </c>
      <c r="E22" s="412">
        <v>103</v>
      </c>
      <c r="F22" s="412">
        <v>0</v>
      </c>
      <c r="G22" s="412">
        <v>754</v>
      </c>
      <c r="H22" s="410" t="s">
        <v>991</v>
      </c>
    </row>
    <row r="23" spans="1:13" x14ac:dyDescent="0.2">
      <c r="A23" s="17">
        <v>16</v>
      </c>
      <c r="B23" s="176" t="s">
        <v>911</v>
      </c>
      <c r="C23" s="411">
        <f>'AT-3'!F24</f>
        <v>3136</v>
      </c>
      <c r="D23" s="412">
        <f t="shared" si="0"/>
        <v>1582</v>
      </c>
      <c r="E23" s="412">
        <v>39</v>
      </c>
      <c r="F23" s="412">
        <v>6</v>
      </c>
      <c r="G23" s="412">
        <v>1537</v>
      </c>
      <c r="H23" s="410" t="s">
        <v>992</v>
      </c>
    </row>
    <row r="24" spans="1:13" x14ac:dyDescent="0.2">
      <c r="A24" s="17">
        <v>17</v>
      </c>
      <c r="B24" s="176" t="s">
        <v>912</v>
      </c>
      <c r="C24" s="411">
        <f>'AT-3'!F25</f>
        <v>1694</v>
      </c>
      <c r="D24" s="412">
        <f t="shared" si="0"/>
        <v>860</v>
      </c>
      <c r="E24" s="412">
        <v>25</v>
      </c>
      <c r="F24" s="412">
        <v>5</v>
      </c>
      <c r="G24" s="412">
        <v>830</v>
      </c>
      <c r="H24" s="410" t="s">
        <v>993</v>
      </c>
    </row>
    <row r="25" spans="1:13" x14ac:dyDescent="0.2">
      <c r="A25" s="17">
        <v>18</v>
      </c>
      <c r="B25" s="176" t="s">
        <v>913</v>
      </c>
      <c r="C25" s="411">
        <f>'AT-3'!F26</f>
        <v>1522</v>
      </c>
      <c r="D25" s="412">
        <f t="shared" si="0"/>
        <v>895</v>
      </c>
      <c r="E25" s="412">
        <v>74</v>
      </c>
      <c r="F25" s="412">
        <v>75</v>
      </c>
      <c r="G25" s="412">
        <v>746</v>
      </c>
      <c r="H25" s="410" t="s">
        <v>994</v>
      </c>
    </row>
    <row r="26" spans="1:13" x14ac:dyDescent="0.2">
      <c r="A26" s="17">
        <v>19</v>
      </c>
      <c r="B26" s="176" t="s">
        <v>914</v>
      </c>
      <c r="C26" s="411">
        <f>'AT-3'!F27</f>
        <v>2314</v>
      </c>
      <c r="D26" s="412">
        <f t="shared" si="0"/>
        <v>1280</v>
      </c>
      <c r="E26" s="412">
        <v>6</v>
      </c>
      <c r="F26" s="412">
        <v>140</v>
      </c>
      <c r="G26" s="412">
        <v>1134</v>
      </c>
      <c r="H26" s="410" t="s">
        <v>995</v>
      </c>
    </row>
    <row r="27" spans="1:13" x14ac:dyDescent="0.2">
      <c r="A27" s="17">
        <v>20</v>
      </c>
      <c r="B27" s="176" t="s">
        <v>915</v>
      </c>
      <c r="C27" s="411">
        <f>'AT-3'!F28</f>
        <v>1015</v>
      </c>
      <c r="D27" s="412">
        <f t="shared" si="0"/>
        <v>530</v>
      </c>
      <c r="E27" s="412">
        <v>18</v>
      </c>
      <c r="F27" s="412">
        <v>15</v>
      </c>
      <c r="G27" s="412">
        <v>497</v>
      </c>
      <c r="H27" s="410" t="s">
        <v>996</v>
      </c>
    </row>
    <row r="28" spans="1:13" x14ac:dyDescent="0.2">
      <c r="A28" s="17">
        <v>21</v>
      </c>
      <c r="B28" s="176" t="s">
        <v>916</v>
      </c>
      <c r="C28" s="411">
        <f>'AT-3'!F29</f>
        <v>1286</v>
      </c>
      <c r="D28" s="412">
        <f t="shared" si="0"/>
        <v>755</v>
      </c>
      <c r="E28" s="412">
        <v>17</v>
      </c>
      <c r="F28" s="412">
        <v>108</v>
      </c>
      <c r="G28" s="412">
        <v>630</v>
      </c>
      <c r="H28" s="410" t="s">
        <v>997</v>
      </c>
    </row>
    <row r="29" spans="1:13" x14ac:dyDescent="0.2">
      <c r="A29" s="17">
        <v>22</v>
      </c>
      <c r="B29" s="176" t="s">
        <v>917</v>
      </c>
      <c r="C29" s="411">
        <f>'AT-3'!F30</f>
        <v>1011</v>
      </c>
      <c r="D29" s="412">
        <f t="shared" si="0"/>
        <v>496</v>
      </c>
      <c r="E29" s="412">
        <v>0</v>
      </c>
      <c r="F29" s="412">
        <v>0</v>
      </c>
      <c r="G29" s="412">
        <v>496</v>
      </c>
      <c r="H29" s="410" t="s">
        <v>998</v>
      </c>
    </row>
    <row r="30" spans="1:13" x14ac:dyDescent="0.2">
      <c r="A30" s="17">
        <v>23</v>
      </c>
      <c r="B30" s="176" t="s">
        <v>918</v>
      </c>
      <c r="C30" s="411">
        <f>'AT-3'!F31</f>
        <v>1540</v>
      </c>
      <c r="D30" s="412">
        <f t="shared" si="0"/>
        <v>1540</v>
      </c>
      <c r="E30" s="412">
        <f>1540-755</f>
        <v>785</v>
      </c>
      <c r="F30" s="412">
        <v>0</v>
      </c>
      <c r="G30" s="412">
        <v>755</v>
      </c>
      <c r="H30" s="410" t="s">
        <v>999</v>
      </c>
    </row>
    <row r="31" spans="1:13" x14ac:dyDescent="0.2">
      <c r="A31" s="17">
        <v>24</v>
      </c>
      <c r="B31" s="18" t="s">
        <v>919</v>
      </c>
      <c r="C31" s="411">
        <f>'AT-3'!F32</f>
        <v>1945</v>
      </c>
      <c r="D31" s="412">
        <f t="shared" si="0"/>
        <v>1077</v>
      </c>
      <c r="E31" s="412">
        <v>30</v>
      </c>
      <c r="F31" s="412">
        <v>93</v>
      </c>
      <c r="G31" s="412">
        <v>954</v>
      </c>
      <c r="H31" s="410" t="s">
        <v>1000</v>
      </c>
    </row>
    <row r="32" spans="1:13" s="14" customFormat="1" x14ac:dyDescent="0.2">
      <c r="A32" s="1026" t="s">
        <v>18</v>
      </c>
      <c r="B32" s="1026"/>
      <c r="C32" s="545">
        <f>SUM(C8:C31)</f>
        <v>35773</v>
      </c>
      <c r="D32" s="414">
        <f>SUM(D8:D31)</f>
        <v>22546</v>
      </c>
      <c r="E32" s="414">
        <f>SUM(E8:E31)</f>
        <v>2991</v>
      </c>
      <c r="F32" s="414">
        <f>SUM(F8:F31)</f>
        <v>2023</v>
      </c>
      <c r="G32" s="414">
        <f>SUM(G8:G31)</f>
        <v>17532</v>
      </c>
      <c r="H32" s="413"/>
      <c r="L32" s="232"/>
      <c r="M32" s="232"/>
    </row>
    <row r="34" spans="1:8" x14ac:dyDescent="0.2">
      <c r="B34" s="14" t="s">
        <v>1001</v>
      </c>
    </row>
    <row r="35" spans="1:8" x14ac:dyDescent="0.2">
      <c r="E35" s="794">
        <f>E32/C32</f>
        <v>8.361054426522796E-2</v>
      </c>
    </row>
    <row r="38" spans="1:8" x14ac:dyDescent="0.2">
      <c r="A38" s="178"/>
      <c r="B38" s="178"/>
      <c r="C38" s="178"/>
      <c r="D38" s="1014" t="s">
        <v>12</v>
      </c>
      <c r="E38" s="1014"/>
      <c r="F38" s="1014"/>
      <c r="G38" s="1014"/>
      <c r="H38" s="1014"/>
    </row>
    <row r="39" spans="1:8" ht="12.75" customHeight="1" x14ac:dyDescent="0.2">
      <c r="A39" s="178"/>
      <c r="B39" s="178"/>
      <c r="C39" s="178"/>
      <c r="D39" s="916" t="s">
        <v>13</v>
      </c>
      <c r="E39" s="916"/>
      <c r="F39" s="916"/>
      <c r="G39" s="916"/>
      <c r="H39" s="916"/>
    </row>
    <row r="40" spans="1:8" ht="12.75" customHeight="1" x14ac:dyDescent="0.2">
      <c r="A40" s="178"/>
      <c r="B40" s="178"/>
      <c r="C40" s="178"/>
      <c r="D40" s="916" t="s">
        <v>87</v>
      </c>
      <c r="E40" s="916"/>
      <c r="F40" s="916"/>
      <c r="G40" s="916"/>
      <c r="H40" s="916"/>
    </row>
    <row r="41" spans="1:8" x14ac:dyDescent="0.2">
      <c r="A41" s="178"/>
      <c r="B41" s="178" t="s">
        <v>11</v>
      </c>
      <c r="C41" s="178"/>
      <c r="D41" s="178"/>
      <c r="E41" s="1025" t="s">
        <v>703</v>
      </c>
      <c r="F41" s="1025"/>
      <c r="G41" s="1025"/>
      <c r="H41" s="1025"/>
    </row>
  </sheetData>
  <mergeCells count="9">
    <mergeCell ref="E41:H41"/>
    <mergeCell ref="A1:F1"/>
    <mergeCell ref="A2:G2"/>
    <mergeCell ref="A3:G3"/>
    <mergeCell ref="F5:H5"/>
    <mergeCell ref="A32:B32"/>
    <mergeCell ref="D38:H38"/>
    <mergeCell ref="D39:H39"/>
    <mergeCell ref="D40:H40"/>
  </mergeCells>
  <printOptions horizontalCentered="1"/>
  <pageMargins left="0.70866141732283472" right="0.32" top="0.23622047244094491" bottom="0" header="0.2" footer="0.16"/>
  <pageSetup paperSize="9" scale="9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40"/>
  <sheetViews>
    <sheetView topLeftCell="A7" zoomScaleNormal="100" zoomScaleSheetLayoutView="100" workbookViewId="0">
      <selection activeCell="C29" sqref="C29"/>
    </sheetView>
  </sheetViews>
  <sheetFormatPr defaultRowHeight="12.75" x14ac:dyDescent="0.2"/>
  <cols>
    <col min="1" max="1" width="8.28515625" customWidth="1"/>
    <col min="2" max="2" width="15.5703125" customWidth="1"/>
    <col min="3" max="3" width="16" customWidth="1"/>
    <col min="4" max="4" width="19.28515625" customWidth="1"/>
    <col min="5" max="5" width="15.7109375" customWidth="1"/>
    <col min="6" max="6" width="21.42578125" bestFit="1" customWidth="1"/>
    <col min="7" max="7" width="17.85546875" customWidth="1"/>
    <col min="8" max="8" width="17.42578125" customWidth="1"/>
  </cols>
  <sheetData>
    <row r="1" spans="1:8" ht="18" x14ac:dyDescent="0.35">
      <c r="A1" s="918" t="s">
        <v>0</v>
      </c>
      <c r="B1" s="918"/>
      <c r="C1" s="918"/>
      <c r="D1" s="918"/>
      <c r="E1" s="918"/>
      <c r="F1" s="918"/>
      <c r="H1" s="170" t="s">
        <v>716</v>
      </c>
    </row>
    <row r="2" spans="1:8" ht="21" x14ac:dyDescent="0.35">
      <c r="A2" s="919" t="s">
        <v>740</v>
      </c>
      <c r="B2" s="919"/>
      <c r="C2" s="919"/>
      <c r="D2" s="919"/>
      <c r="E2" s="919"/>
      <c r="F2" s="919"/>
      <c r="G2" s="919"/>
    </row>
    <row r="3" spans="1:8" ht="15" x14ac:dyDescent="0.3">
      <c r="A3" s="171"/>
      <c r="B3" s="171"/>
    </row>
    <row r="4" spans="1:8" ht="18" customHeight="1" x14ac:dyDescent="0.35">
      <c r="A4" s="920" t="s">
        <v>717</v>
      </c>
      <c r="B4" s="920"/>
      <c r="C4" s="920"/>
      <c r="D4" s="920"/>
      <c r="E4" s="920"/>
      <c r="F4" s="920"/>
      <c r="G4" s="920"/>
    </row>
    <row r="5" spans="1:8" ht="15" x14ac:dyDescent="0.3">
      <c r="A5" s="172" t="s">
        <v>920</v>
      </c>
      <c r="B5" s="172"/>
    </row>
    <row r="6" spans="1:8" ht="15" x14ac:dyDescent="0.3">
      <c r="A6" s="172"/>
      <c r="B6" s="172"/>
      <c r="F6" s="921" t="s">
        <v>830</v>
      </c>
      <c r="G6" s="921"/>
      <c r="H6" s="921"/>
    </row>
    <row r="7" spans="1:8" ht="45.75" customHeight="1" x14ac:dyDescent="0.2">
      <c r="A7" s="204" t="s">
        <v>2</v>
      </c>
      <c r="B7" s="204" t="s">
        <v>3</v>
      </c>
      <c r="C7" s="227" t="s">
        <v>718</v>
      </c>
      <c r="D7" s="227" t="s">
        <v>719</v>
      </c>
      <c r="E7" s="227" t="s">
        <v>720</v>
      </c>
      <c r="F7" s="227" t="s">
        <v>721</v>
      </c>
      <c r="G7" s="227" t="s">
        <v>722</v>
      </c>
      <c r="H7" s="227" t="s">
        <v>723</v>
      </c>
    </row>
    <row r="8" spans="1:8" s="170" customFormat="1" ht="15" x14ac:dyDescent="0.25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  <c r="H8" s="207">
        <v>8</v>
      </c>
    </row>
    <row r="9" spans="1:8" x14ac:dyDescent="0.2">
      <c r="A9" s="17">
        <v>1</v>
      </c>
      <c r="B9" s="176" t="s">
        <v>896</v>
      </c>
      <c r="C9" s="9">
        <v>4982</v>
      </c>
      <c r="D9" s="9">
        <v>4534</v>
      </c>
      <c r="E9" s="9">
        <v>28</v>
      </c>
      <c r="F9" s="376" t="s">
        <v>1002</v>
      </c>
      <c r="G9" s="376" t="s">
        <v>950</v>
      </c>
      <c r="H9" s="376" t="s">
        <v>1003</v>
      </c>
    </row>
    <row r="10" spans="1:8" x14ac:dyDescent="0.2">
      <c r="A10" s="17">
        <v>2</v>
      </c>
      <c r="B10" s="176" t="s">
        <v>897</v>
      </c>
      <c r="C10" s="9">
        <v>1627</v>
      </c>
      <c r="D10" s="9">
        <v>1627</v>
      </c>
      <c r="E10" s="9">
        <v>18</v>
      </c>
      <c r="F10" s="376" t="s">
        <v>1002</v>
      </c>
      <c r="G10" s="376" t="s">
        <v>950</v>
      </c>
      <c r="H10" s="376" t="s">
        <v>1003</v>
      </c>
    </row>
    <row r="11" spans="1:8" x14ac:dyDescent="0.2">
      <c r="A11" s="17">
        <v>3</v>
      </c>
      <c r="B11" s="176" t="s">
        <v>898</v>
      </c>
      <c r="C11" s="9">
        <v>1205</v>
      </c>
      <c r="D11" s="9">
        <v>1189</v>
      </c>
      <c r="E11" s="9">
        <v>21</v>
      </c>
      <c r="F11" s="376" t="s">
        <v>1002</v>
      </c>
      <c r="G11" s="376" t="s">
        <v>950</v>
      </c>
      <c r="H11" s="376" t="s">
        <v>1003</v>
      </c>
    </row>
    <row r="12" spans="1:8" x14ac:dyDescent="0.2">
      <c r="A12" s="17">
        <v>4</v>
      </c>
      <c r="B12" s="176" t="s">
        <v>899</v>
      </c>
      <c r="C12" s="9">
        <v>3686</v>
      </c>
      <c r="D12" s="9">
        <v>3686</v>
      </c>
      <c r="E12" s="9">
        <v>39</v>
      </c>
      <c r="F12" s="376" t="s">
        <v>1002</v>
      </c>
      <c r="G12" s="376" t="s">
        <v>950</v>
      </c>
      <c r="H12" s="376" t="s">
        <v>1003</v>
      </c>
    </row>
    <row r="13" spans="1:8" x14ac:dyDescent="0.2">
      <c r="A13" s="17">
        <v>5</v>
      </c>
      <c r="B13" s="176" t="s">
        <v>900</v>
      </c>
      <c r="C13" s="9">
        <v>2093</v>
      </c>
      <c r="D13" s="9">
        <f>C13</f>
        <v>2093</v>
      </c>
      <c r="E13" s="9">
        <v>30</v>
      </c>
      <c r="F13" s="376" t="s">
        <v>1002</v>
      </c>
      <c r="G13" s="376" t="s">
        <v>950</v>
      </c>
      <c r="H13" s="376" t="s">
        <v>1003</v>
      </c>
    </row>
    <row r="14" spans="1:8" x14ac:dyDescent="0.2">
      <c r="A14" s="17">
        <v>6</v>
      </c>
      <c r="B14" s="176" t="s">
        <v>901</v>
      </c>
      <c r="C14" s="9">
        <v>3467</v>
      </c>
      <c r="D14" s="9">
        <v>2924</v>
      </c>
      <c r="E14" s="9">
        <v>42</v>
      </c>
      <c r="F14" s="376" t="s">
        <v>1002</v>
      </c>
      <c r="G14" s="376" t="s">
        <v>950</v>
      </c>
      <c r="H14" s="376" t="s">
        <v>1003</v>
      </c>
    </row>
    <row r="15" spans="1:8" x14ac:dyDescent="0.2">
      <c r="A15" s="17">
        <v>7</v>
      </c>
      <c r="B15" s="176" t="s">
        <v>902</v>
      </c>
      <c r="C15" s="9">
        <v>2687</v>
      </c>
      <c r="D15" s="9">
        <v>2173</v>
      </c>
      <c r="E15" s="9">
        <v>72</v>
      </c>
      <c r="F15" s="376" t="s">
        <v>1002</v>
      </c>
      <c r="G15" s="376" t="s">
        <v>950</v>
      </c>
      <c r="H15" s="376" t="s">
        <v>1003</v>
      </c>
    </row>
    <row r="16" spans="1:8" x14ac:dyDescent="0.2">
      <c r="A16" s="17">
        <v>8</v>
      </c>
      <c r="B16" s="176" t="s">
        <v>903</v>
      </c>
      <c r="C16" s="9">
        <v>3717</v>
      </c>
      <c r="D16" s="9">
        <f>C16</f>
        <v>3717</v>
      </c>
      <c r="E16" s="9">
        <v>62</v>
      </c>
      <c r="F16" s="376" t="s">
        <v>1002</v>
      </c>
      <c r="G16" s="376" t="s">
        <v>950</v>
      </c>
      <c r="H16" s="376" t="s">
        <v>1003</v>
      </c>
    </row>
    <row r="17" spans="1:8" x14ac:dyDescent="0.2">
      <c r="A17" s="17">
        <v>9</v>
      </c>
      <c r="B17" s="176" t="s">
        <v>904</v>
      </c>
      <c r="C17" s="9">
        <v>5569</v>
      </c>
      <c r="D17" s="9">
        <v>5489</v>
      </c>
      <c r="E17" s="9">
        <v>60</v>
      </c>
      <c r="F17" s="376" t="s">
        <v>1002</v>
      </c>
      <c r="G17" s="376" t="s">
        <v>950</v>
      </c>
      <c r="H17" s="376" t="s">
        <v>1003</v>
      </c>
    </row>
    <row r="18" spans="1:8" x14ac:dyDescent="0.2">
      <c r="A18" s="17">
        <v>10</v>
      </c>
      <c r="B18" s="176" t="s">
        <v>905</v>
      </c>
      <c r="C18" s="9">
        <v>2421</v>
      </c>
      <c r="D18" s="9">
        <f>C18</f>
        <v>2421</v>
      </c>
      <c r="E18" s="9">
        <v>45</v>
      </c>
      <c r="F18" s="376" t="s">
        <v>1002</v>
      </c>
      <c r="G18" s="376" t="s">
        <v>950</v>
      </c>
      <c r="H18" s="376" t="s">
        <v>1003</v>
      </c>
    </row>
    <row r="19" spans="1:8" x14ac:dyDescent="0.2">
      <c r="A19" s="17">
        <v>11</v>
      </c>
      <c r="B19" s="176" t="s">
        <v>906</v>
      </c>
      <c r="C19" s="9">
        <v>3429</v>
      </c>
      <c r="D19" s="9">
        <f>C19</f>
        <v>3429</v>
      </c>
      <c r="E19" s="9">
        <v>95</v>
      </c>
      <c r="F19" s="376" t="s">
        <v>1002</v>
      </c>
      <c r="G19" s="376" t="s">
        <v>950</v>
      </c>
      <c r="H19" s="376" t="s">
        <v>1003</v>
      </c>
    </row>
    <row r="20" spans="1:8" x14ac:dyDescent="0.2">
      <c r="A20" s="17">
        <v>12</v>
      </c>
      <c r="B20" s="269" t="s">
        <v>907</v>
      </c>
      <c r="C20" s="9">
        <v>3445</v>
      </c>
      <c r="D20" s="9">
        <f>C20</f>
        <v>3445</v>
      </c>
      <c r="E20" s="9">
        <v>48</v>
      </c>
      <c r="F20" s="376" t="s">
        <v>1002</v>
      </c>
      <c r="G20" s="376" t="s">
        <v>950</v>
      </c>
      <c r="H20" s="376" t="s">
        <v>1003</v>
      </c>
    </row>
    <row r="21" spans="1:8" x14ac:dyDescent="0.2">
      <c r="A21" s="17">
        <v>13</v>
      </c>
      <c r="B21" s="176" t="s">
        <v>908</v>
      </c>
      <c r="C21" s="9">
        <v>1704</v>
      </c>
      <c r="D21" s="9">
        <f>C21</f>
        <v>1704</v>
      </c>
      <c r="E21" s="9">
        <v>18</v>
      </c>
      <c r="F21" s="376" t="s">
        <v>1002</v>
      </c>
      <c r="G21" s="376" t="s">
        <v>950</v>
      </c>
      <c r="H21" s="376" t="s">
        <v>1003</v>
      </c>
    </row>
    <row r="22" spans="1:8" x14ac:dyDescent="0.2">
      <c r="A22" s="17">
        <v>14</v>
      </c>
      <c r="B22" s="176" t="s">
        <v>909</v>
      </c>
      <c r="C22" s="375">
        <v>1506</v>
      </c>
      <c r="D22" s="9">
        <v>1492</v>
      </c>
      <c r="E22" s="375">
        <v>18</v>
      </c>
      <c r="F22" s="376" t="s">
        <v>1002</v>
      </c>
      <c r="G22" s="376" t="s">
        <v>950</v>
      </c>
      <c r="H22" s="376" t="s">
        <v>1003</v>
      </c>
    </row>
    <row r="23" spans="1:8" x14ac:dyDescent="0.2">
      <c r="A23" s="17">
        <v>15</v>
      </c>
      <c r="B23" s="176" t="s">
        <v>910</v>
      </c>
      <c r="C23" s="9">
        <v>3918</v>
      </c>
      <c r="D23" s="9">
        <v>3885</v>
      </c>
      <c r="E23" s="9">
        <v>36</v>
      </c>
      <c r="F23" s="376" t="s">
        <v>1002</v>
      </c>
      <c r="G23" s="376" t="s">
        <v>950</v>
      </c>
      <c r="H23" s="376" t="s">
        <v>1003</v>
      </c>
    </row>
    <row r="24" spans="1:8" x14ac:dyDescent="0.2">
      <c r="A24" s="17">
        <v>16</v>
      </c>
      <c r="B24" s="176" t="s">
        <v>911</v>
      </c>
      <c r="C24" s="9">
        <v>6959</v>
      </c>
      <c r="D24" s="9">
        <v>6598</v>
      </c>
      <c r="E24" s="9">
        <v>318</v>
      </c>
      <c r="F24" s="376" t="s">
        <v>1002</v>
      </c>
      <c r="G24" s="376" t="s">
        <v>950</v>
      </c>
      <c r="H24" s="376" t="s">
        <v>1003</v>
      </c>
    </row>
    <row r="25" spans="1:8" x14ac:dyDescent="0.2">
      <c r="A25" s="17">
        <v>17</v>
      </c>
      <c r="B25" s="176" t="s">
        <v>912</v>
      </c>
      <c r="C25" s="9">
        <v>3771</v>
      </c>
      <c r="D25" s="9">
        <f>C25</f>
        <v>3771</v>
      </c>
      <c r="E25" s="9">
        <v>398</v>
      </c>
      <c r="F25" s="376" t="s">
        <v>1002</v>
      </c>
      <c r="G25" s="376" t="s">
        <v>950</v>
      </c>
      <c r="H25" s="376" t="s">
        <v>1003</v>
      </c>
    </row>
    <row r="26" spans="1:8" x14ac:dyDescent="0.2">
      <c r="A26" s="17">
        <v>18</v>
      </c>
      <c r="B26" s="176" t="s">
        <v>913</v>
      </c>
      <c r="C26" s="9">
        <v>3862</v>
      </c>
      <c r="D26" s="9">
        <v>0</v>
      </c>
      <c r="E26" s="9">
        <v>0</v>
      </c>
      <c r="F26" s="376" t="s">
        <v>1002</v>
      </c>
      <c r="G26" s="376" t="s">
        <v>950</v>
      </c>
      <c r="H26" s="376" t="s">
        <v>1003</v>
      </c>
    </row>
    <row r="27" spans="1:8" x14ac:dyDescent="0.2">
      <c r="A27" s="17">
        <v>19</v>
      </c>
      <c r="B27" s="176" t="s">
        <v>914</v>
      </c>
      <c r="C27" s="9">
        <v>4640</v>
      </c>
      <c r="D27" s="9">
        <v>0</v>
      </c>
      <c r="E27" s="9">
        <v>0</v>
      </c>
      <c r="F27" s="376" t="s">
        <v>1002</v>
      </c>
      <c r="G27" s="376" t="s">
        <v>950</v>
      </c>
      <c r="H27" s="376" t="s">
        <v>1003</v>
      </c>
    </row>
    <row r="28" spans="1:8" x14ac:dyDescent="0.2">
      <c r="A28" s="17">
        <v>20</v>
      </c>
      <c r="B28" s="176" t="s">
        <v>915</v>
      </c>
      <c r="C28" s="9">
        <v>2202</v>
      </c>
      <c r="D28" s="9">
        <f>C28</f>
        <v>2202</v>
      </c>
      <c r="E28" s="9">
        <v>214</v>
      </c>
      <c r="F28" s="376" t="s">
        <v>1002</v>
      </c>
      <c r="G28" s="376" t="s">
        <v>950</v>
      </c>
      <c r="H28" s="376" t="s">
        <v>1003</v>
      </c>
    </row>
    <row r="29" spans="1:8" x14ac:dyDescent="0.2">
      <c r="A29" s="17">
        <v>21</v>
      </c>
      <c r="B29" s="176" t="s">
        <v>916</v>
      </c>
      <c r="C29" s="9">
        <v>3185</v>
      </c>
      <c r="D29" s="9">
        <v>0</v>
      </c>
      <c r="E29" s="9">
        <v>0</v>
      </c>
      <c r="F29" s="376" t="s">
        <v>1002</v>
      </c>
      <c r="G29" s="376" t="s">
        <v>950</v>
      </c>
      <c r="H29" s="376" t="s">
        <v>1003</v>
      </c>
    </row>
    <row r="30" spans="1:8" x14ac:dyDescent="0.2">
      <c r="A30" s="17">
        <v>22</v>
      </c>
      <c r="B30" s="176" t="s">
        <v>917</v>
      </c>
      <c r="C30" s="9">
        <v>2068</v>
      </c>
      <c r="D30" s="9">
        <v>0</v>
      </c>
      <c r="E30" s="9">
        <v>0</v>
      </c>
      <c r="F30" s="376" t="s">
        <v>1002</v>
      </c>
      <c r="G30" s="376" t="s">
        <v>950</v>
      </c>
      <c r="H30" s="376" t="s">
        <v>1003</v>
      </c>
    </row>
    <row r="31" spans="1:8" x14ac:dyDescent="0.2">
      <c r="A31" s="17">
        <v>23</v>
      </c>
      <c r="B31" s="176" t="s">
        <v>918</v>
      </c>
      <c r="C31" s="9">
        <v>3206</v>
      </c>
      <c r="D31" s="9">
        <f>C31</f>
        <v>3206</v>
      </c>
      <c r="E31" s="9">
        <v>122</v>
      </c>
      <c r="F31" s="376" t="s">
        <v>1002</v>
      </c>
      <c r="G31" s="376" t="s">
        <v>950</v>
      </c>
      <c r="H31" s="376" t="s">
        <v>1003</v>
      </c>
    </row>
    <row r="32" spans="1:8" x14ac:dyDescent="0.2">
      <c r="A32" s="17">
        <v>24</v>
      </c>
      <c r="B32" s="18" t="s">
        <v>919</v>
      </c>
      <c r="C32" s="9">
        <v>4242</v>
      </c>
      <c r="D32" s="9">
        <f>C32</f>
        <v>4242</v>
      </c>
      <c r="E32" s="9">
        <v>30</v>
      </c>
      <c r="F32" s="376" t="s">
        <v>1002</v>
      </c>
      <c r="G32" s="376" t="s">
        <v>950</v>
      </c>
      <c r="H32" s="376" t="s">
        <v>1003</v>
      </c>
    </row>
    <row r="33" spans="1:13" x14ac:dyDescent="0.2">
      <c r="A33" s="1026" t="s">
        <v>18</v>
      </c>
      <c r="B33" s="1026"/>
      <c r="C33" s="374">
        <f>SUM(C9:C32)</f>
        <v>79591</v>
      </c>
      <c r="D33" s="374">
        <f>SUM(D9:D32)</f>
        <v>63827</v>
      </c>
      <c r="E33" s="374">
        <f>SUM(E9:E32)</f>
        <v>1714</v>
      </c>
      <c r="F33" s="374"/>
      <c r="G33" s="374"/>
      <c r="H33" s="374"/>
      <c r="I33" s="232"/>
      <c r="J33" s="232"/>
      <c r="K33" s="232"/>
      <c r="L33" s="232"/>
      <c r="M33" s="232"/>
    </row>
    <row r="37" spans="1:13" x14ac:dyDescent="0.2">
      <c r="A37" s="178"/>
      <c r="B37" s="178"/>
      <c r="C37" s="178"/>
      <c r="D37" s="1027" t="s">
        <v>12</v>
      </c>
      <c r="E37" s="1027"/>
      <c r="F37" s="1027"/>
      <c r="G37" s="1027"/>
    </row>
    <row r="38" spans="1:13" x14ac:dyDescent="0.2">
      <c r="A38" s="178"/>
      <c r="B38" s="178"/>
      <c r="C38" s="178"/>
      <c r="D38" s="1028" t="s">
        <v>13</v>
      </c>
      <c r="E38" s="1028"/>
      <c r="F38" s="1028"/>
      <c r="G38" s="1028"/>
    </row>
    <row r="39" spans="1:13" x14ac:dyDescent="0.2">
      <c r="A39" s="178"/>
      <c r="B39" s="178"/>
      <c r="C39" s="178"/>
      <c r="D39" s="1028" t="s">
        <v>87</v>
      </c>
      <c r="E39" s="1028"/>
      <c r="F39" s="1028"/>
      <c r="G39" s="1028"/>
    </row>
    <row r="40" spans="1:13" x14ac:dyDescent="0.2">
      <c r="A40" s="178"/>
      <c r="B40" s="178" t="s">
        <v>11</v>
      </c>
      <c r="C40" s="178"/>
      <c r="D40" s="178"/>
      <c r="F40" s="178" t="s">
        <v>703</v>
      </c>
      <c r="G40" s="178"/>
    </row>
  </sheetData>
  <mergeCells count="8">
    <mergeCell ref="D37:G37"/>
    <mergeCell ref="D38:G38"/>
    <mergeCell ref="D39:G39"/>
    <mergeCell ref="A1:F1"/>
    <mergeCell ref="A2:G2"/>
    <mergeCell ref="A4:G4"/>
    <mergeCell ref="F6:H6"/>
    <mergeCell ref="A33:B33"/>
  </mergeCells>
  <printOptions horizontalCentered="1"/>
  <pageMargins left="0.70866141732283472" right="0.16" top="0.23622047244094491" bottom="0" header="0.31496062992125984" footer="0.16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38"/>
  <sheetViews>
    <sheetView topLeftCell="A10" zoomScaleNormal="100" zoomScaleSheetLayoutView="90" workbookViewId="0">
      <selection activeCell="C17" sqref="C17"/>
    </sheetView>
  </sheetViews>
  <sheetFormatPr defaultRowHeight="12.75" x14ac:dyDescent="0.2"/>
  <cols>
    <col min="1" max="1" width="5.42578125" customWidth="1"/>
    <col min="2" max="2" width="12" customWidth="1"/>
    <col min="3" max="3" width="16.28515625" customWidth="1"/>
    <col min="4" max="4" width="15.85546875" customWidth="1"/>
    <col min="5" max="5" width="13.28515625" customWidth="1"/>
    <col min="6" max="6" width="13.42578125" customWidth="1"/>
    <col min="7" max="7" width="13.28515625" customWidth="1"/>
    <col min="8" max="8" width="14.8554687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853"/>
      <c r="E1" s="853"/>
      <c r="H1" s="40"/>
      <c r="I1" s="928" t="s">
        <v>68</v>
      </c>
      <c r="J1" s="928"/>
    </row>
    <row r="2" spans="1:19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9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19" ht="10.5" customHeight="1" x14ac:dyDescent="0.2"/>
    <row r="5" spans="1:19" s="15" customFormat="1" ht="24.75" customHeight="1" x14ac:dyDescent="0.25">
      <c r="A5" s="1030" t="s">
        <v>431</v>
      </c>
      <c r="B5" s="1030"/>
      <c r="C5" s="1030"/>
      <c r="D5" s="1030"/>
      <c r="E5" s="1030"/>
      <c r="F5" s="1030"/>
      <c r="G5" s="1030"/>
      <c r="H5" s="1030"/>
      <c r="I5" s="1030"/>
      <c r="J5" s="1030"/>
      <c r="K5" s="1030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20" t="s">
        <v>920</v>
      </c>
      <c r="B7" s="820"/>
      <c r="E7" s="980"/>
      <c r="F7" s="980"/>
      <c r="G7" s="980"/>
      <c r="H7" s="980"/>
      <c r="I7" s="980" t="s">
        <v>831</v>
      </c>
      <c r="J7" s="980"/>
      <c r="K7" s="980"/>
    </row>
    <row r="8" spans="1:19" s="13" customFormat="1" ht="15.75" hidden="1" x14ac:dyDescent="0.25">
      <c r="C8" s="930" t="s">
        <v>15</v>
      </c>
      <c r="D8" s="930"/>
      <c r="E8" s="930"/>
      <c r="F8" s="930"/>
      <c r="G8" s="930"/>
      <c r="H8" s="930"/>
      <c r="I8" s="930"/>
      <c r="J8" s="930"/>
    </row>
    <row r="9" spans="1:19" ht="44.25" customHeight="1" x14ac:dyDescent="0.2">
      <c r="A9" s="818" t="s">
        <v>25</v>
      </c>
      <c r="B9" s="818" t="s">
        <v>58</v>
      </c>
      <c r="C9" s="827" t="s">
        <v>456</v>
      </c>
      <c r="D9" s="829"/>
      <c r="E9" s="827" t="s">
        <v>39</v>
      </c>
      <c r="F9" s="829"/>
      <c r="G9" s="827" t="s">
        <v>40</v>
      </c>
      <c r="H9" s="829"/>
      <c r="I9" s="834" t="s">
        <v>107</v>
      </c>
      <c r="J9" s="834"/>
      <c r="K9" s="818" t="s">
        <v>507</v>
      </c>
      <c r="R9" s="9"/>
      <c r="S9" s="12"/>
    </row>
    <row r="10" spans="1:19" s="14" customFormat="1" ht="42.6" customHeight="1" x14ac:dyDescent="0.2">
      <c r="A10" s="819"/>
      <c r="B10" s="819"/>
      <c r="C10" s="5" t="s">
        <v>41</v>
      </c>
      <c r="D10" s="5" t="s">
        <v>106</v>
      </c>
      <c r="E10" s="5" t="s">
        <v>41</v>
      </c>
      <c r="F10" s="5" t="s">
        <v>106</v>
      </c>
      <c r="G10" s="5" t="s">
        <v>41</v>
      </c>
      <c r="H10" s="5" t="s">
        <v>106</v>
      </c>
      <c r="I10" s="5" t="s">
        <v>131</v>
      </c>
      <c r="J10" s="5" t="s">
        <v>132</v>
      </c>
      <c r="K10" s="819"/>
    </row>
    <row r="11" spans="1:19" x14ac:dyDescent="0.2">
      <c r="A11" s="129">
        <v>1</v>
      </c>
      <c r="B11" s="129">
        <v>2</v>
      </c>
      <c r="C11" s="129">
        <v>3</v>
      </c>
      <c r="D11" s="129">
        <v>4</v>
      </c>
      <c r="E11" s="129">
        <v>5</v>
      </c>
      <c r="F11" s="129">
        <v>6</v>
      </c>
      <c r="G11" s="129">
        <v>7</v>
      </c>
      <c r="H11" s="129">
        <v>8</v>
      </c>
      <c r="I11" s="129">
        <v>9</v>
      </c>
      <c r="J11" s="129">
        <v>10</v>
      </c>
      <c r="K11" s="3">
        <v>11</v>
      </c>
    </row>
    <row r="12" spans="1:19" ht="15.75" customHeight="1" x14ac:dyDescent="0.2">
      <c r="A12" s="8">
        <v>1</v>
      </c>
      <c r="B12" s="17" t="s">
        <v>370</v>
      </c>
      <c r="C12" s="9">
        <v>5537</v>
      </c>
      <c r="D12" s="371">
        <v>3322.14</v>
      </c>
      <c r="E12" s="9">
        <v>5537</v>
      </c>
      <c r="F12" s="9">
        <v>3322.14</v>
      </c>
      <c r="G12" s="9">
        <f t="shared" ref="G12:H16" si="0">C12-E12-I12</f>
        <v>0</v>
      </c>
      <c r="H12" s="371">
        <f t="shared" si="0"/>
        <v>0</v>
      </c>
      <c r="I12" s="9">
        <v>0</v>
      </c>
      <c r="J12" s="371">
        <v>0</v>
      </c>
      <c r="K12" s="9"/>
    </row>
    <row r="13" spans="1:19" ht="15.75" customHeight="1" x14ac:dyDescent="0.2">
      <c r="A13" s="8">
        <v>2</v>
      </c>
      <c r="B13" s="17" t="s">
        <v>371</v>
      </c>
      <c r="C13" s="9">
        <v>10354</v>
      </c>
      <c r="D13" s="371">
        <v>6212.4</v>
      </c>
      <c r="E13" s="9">
        <v>10236</v>
      </c>
      <c r="F13" s="9">
        <v>6141.6</v>
      </c>
      <c r="G13" s="9">
        <f t="shared" si="0"/>
        <v>0</v>
      </c>
      <c r="H13" s="371">
        <f t="shared" si="0"/>
        <v>-7.2475359047530219E-13</v>
      </c>
      <c r="I13" s="9">
        <v>118</v>
      </c>
      <c r="J13" s="313">
        <f>I13*0.6</f>
        <v>70.8</v>
      </c>
      <c r="K13" s="9"/>
    </row>
    <row r="14" spans="1:19" ht="15.75" customHeight="1" x14ac:dyDescent="0.2">
      <c r="A14" s="8">
        <v>3</v>
      </c>
      <c r="B14" s="17" t="s">
        <v>372</v>
      </c>
      <c r="C14" s="9">
        <v>4510</v>
      </c>
      <c r="D14" s="371">
        <v>2706</v>
      </c>
      <c r="E14" s="9">
        <v>2708</v>
      </c>
      <c r="F14" s="9">
        <v>1624.8</v>
      </c>
      <c r="G14" s="9">
        <f t="shared" si="0"/>
        <v>0</v>
      </c>
      <c r="H14" s="371">
        <f t="shared" si="0"/>
        <v>0</v>
      </c>
      <c r="I14" s="9">
        <f>1920-118</f>
        <v>1802</v>
      </c>
      <c r="J14" s="371">
        <f>I14*0.6</f>
        <v>1081.2</v>
      </c>
      <c r="K14" s="9"/>
    </row>
    <row r="15" spans="1:19" ht="15.75" customHeight="1" x14ac:dyDescent="0.2">
      <c r="A15" s="8">
        <v>4</v>
      </c>
      <c r="B15" s="17" t="s">
        <v>373</v>
      </c>
      <c r="C15" s="9">
        <v>2000</v>
      </c>
      <c r="D15" s="371">
        <v>3270</v>
      </c>
      <c r="E15" s="9">
        <v>1720</v>
      </c>
      <c r="F15" s="9">
        <v>2812.2</v>
      </c>
      <c r="G15" s="9">
        <f t="shared" si="0"/>
        <v>202</v>
      </c>
      <c r="H15" s="371">
        <f t="shared" si="0"/>
        <v>330.27000000000021</v>
      </c>
      <c r="I15" s="9">
        <v>78</v>
      </c>
      <c r="J15" s="371">
        <v>127.53</v>
      </c>
      <c r="K15" s="9"/>
    </row>
    <row r="16" spans="1:19" ht="15.75" customHeight="1" x14ac:dyDescent="0.2">
      <c r="A16" s="8">
        <v>5</v>
      </c>
      <c r="B16" s="17" t="s">
        <v>374</v>
      </c>
      <c r="C16" s="9">
        <v>0</v>
      </c>
      <c r="D16" s="371">
        <v>0</v>
      </c>
      <c r="E16" s="9">
        <v>0</v>
      </c>
      <c r="F16" s="9">
        <v>0</v>
      </c>
      <c r="G16" s="9">
        <f t="shared" si="0"/>
        <v>0</v>
      </c>
      <c r="H16" s="371">
        <f t="shared" si="0"/>
        <v>0</v>
      </c>
      <c r="I16" s="9">
        <v>0</v>
      </c>
      <c r="J16" s="371">
        <v>0</v>
      </c>
      <c r="K16" s="9"/>
    </row>
    <row r="17" spans="1:16" ht="15.75" customHeight="1" x14ac:dyDescent="0.2">
      <c r="A17" s="8">
        <v>6</v>
      </c>
      <c r="B17" s="17" t="s">
        <v>375</v>
      </c>
      <c r="C17" s="9">
        <v>16600</v>
      </c>
      <c r="D17" s="371">
        <v>25334.95</v>
      </c>
      <c r="E17" s="9">
        <f>11185-1730</f>
        <v>9455</v>
      </c>
      <c r="F17" s="9">
        <f>16169.31-2041.95</f>
        <v>14127.359999999999</v>
      </c>
      <c r="G17" s="9">
        <f>2665-1730</f>
        <v>935</v>
      </c>
      <c r="H17" s="371">
        <f>3494.3-2041.95</f>
        <v>1452.3500000000001</v>
      </c>
      <c r="I17" s="9">
        <v>4480</v>
      </c>
      <c r="J17" s="371">
        <v>7713.29</v>
      </c>
      <c r="K17" s="9"/>
    </row>
    <row r="18" spans="1:16" ht="15.75" customHeight="1" x14ac:dyDescent="0.2">
      <c r="A18" s="8">
        <v>7</v>
      </c>
      <c r="B18" s="17" t="s">
        <v>376</v>
      </c>
      <c r="C18" s="9"/>
      <c r="D18" s="9"/>
      <c r="E18" s="9"/>
      <c r="F18" s="9"/>
      <c r="G18" s="9"/>
      <c r="H18" s="9"/>
      <c r="I18" s="9"/>
      <c r="J18" s="371"/>
      <c r="K18" s="9"/>
    </row>
    <row r="19" spans="1:16" s="12" customFormat="1" ht="15.75" customHeight="1" x14ac:dyDescent="0.2">
      <c r="A19" s="8">
        <v>8</v>
      </c>
      <c r="B19" s="17" t="s">
        <v>246</v>
      </c>
      <c r="C19" s="9"/>
      <c r="D19" s="9"/>
      <c r="E19" s="9"/>
      <c r="F19" s="9"/>
      <c r="G19" s="9"/>
      <c r="H19" s="9"/>
      <c r="I19" s="9"/>
      <c r="J19" s="371"/>
      <c r="K19" s="9"/>
    </row>
    <row r="20" spans="1:16" s="12" customFormat="1" ht="15.75" customHeight="1" x14ac:dyDescent="0.2">
      <c r="A20" s="8">
        <v>9</v>
      </c>
      <c r="B20" s="17" t="s">
        <v>351</v>
      </c>
      <c r="C20" s="9"/>
      <c r="D20" s="9"/>
      <c r="E20" s="9"/>
      <c r="F20" s="9"/>
      <c r="G20" s="9"/>
      <c r="H20" s="9"/>
      <c r="I20" s="9"/>
      <c r="J20" s="371"/>
      <c r="K20" s="9"/>
    </row>
    <row r="21" spans="1:16" s="12" customFormat="1" ht="15.75" customHeight="1" x14ac:dyDescent="0.2">
      <c r="A21" s="8">
        <v>10</v>
      </c>
      <c r="B21" s="17" t="s">
        <v>506</v>
      </c>
      <c r="C21" s="9"/>
      <c r="D21" s="9"/>
      <c r="E21" s="9"/>
      <c r="F21" s="9"/>
      <c r="G21" s="9"/>
      <c r="H21" s="9"/>
      <c r="I21" s="9"/>
      <c r="J21" s="371"/>
      <c r="K21" s="9"/>
    </row>
    <row r="22" spans="1:16" s="12" customFormat="1" ht="15.75" customHeight="1" x14ac:dyDescent="0.2">
      <c r="A22" s="8">
        <v>11</v>
      </c>
      <c r="B22" s="17" t="s">
        <v>468</v>
      </c>
      <c r="C22" s="9"/>
      <c r="D22" s="9"/>
      <c r="E22" s="9"/>
      <c r="F22" s="9"/>
      <c r="G22" s="9"/>
      <c r="H22" s="9"/>
      <c r="I22" s="9"/>
      <c r="J22" s="371"/>
      <c r="K22" s="9"/>
    </row>
    <row r="23" spans="1:16" s="12" customFormat="1" ht="15.75" customHeight="1" x14ac:dyDescent="0.2">
      <c r="A23" s="8">
        <v>12</v>
      </c>
      <c r="B23" s="17" t="s">
        <v>505</v>
      </c>
      <c r="C23" s="9"/>
      <c r="D23" s="9"/>
      <c r="E23" s="9"/>
      <c r="F23" s="9"/>
      <c r="G23" s="9"/>
      <c r="H23" s="9"/>
      <c r="I23" s="9"/>
      <c r="J23" s="371"/>
      <c r="K23" s="9"/>
    </row>
    <row r="24" spans="1:16" s="12" customFormat="1" ht="15.75" customHeight="1" x14ac:dyDescent="0.2">
      <c r="A24" s="8">
        <v>13</v>
      </c>
      <c r="B24" s="17" t="s">
        <v>682</v>
      </c>
      <c r="C24" s="9"/>
      <c r="D24" s="9"/>
      <c r="E24" s="9"/>
      <c r="F24" s="9"/>
      <c r="G24" s="9"/>
      <c r="H24" s="9"/>
      <c r="I24" s="9"/>
      <c r="J24" s="371"/>
      <c r="K24" s="9"/>
    </row>
    <row r="25" spans="1:16" s="12" customFormat="1" ht="15.75" customHeight="1" x14ac:dyDescent="0.2">
      <c r="A25" s="8">
        <v>14</v>
      </c>
      <c r="B25" s="17" t="s">
        <v>847</v>
      </c>
      <c r="C25" s="9">
        <v>0</v>
      </c>
      <c r="D25" s="371">
        <v>0</v>
      </c>
      <c r="E25" s="9">
        <v>1730</v>
      </c>
      <c r="F25" s="9">
        <v>2041.95</v>
      </c>
      <c r="G25" s="9">
        <v>0</v>
      </c>
      <c r="H25" s="371">
        <v>0</v>
      </c>
      <c r="I25" s="9">
        <v>0</v>
      </c>
      <c r="J25" s="371">
        <v>0</v>
      </c>
      <c r="K25" s="9"/>
    </row>
    <row r="26" spans="1:16" s="12" customFormat="1" ht="15.75" customHeight="1" x14ac:dyDescent="0.2">
      <c r="A26" s="8"/>
      <c r="B26" s="17"/>
      <c r="C26" s="9"/>
      <c r="D26" s="9"/>
      <c r="E26" s="9"/>
      <c r="F26" s="9"/>
      <c r="G26" s="9"/>
      <c r="H26" s="9"/>
      <c r="I26" s="9"/>
      <c r="J26" s="371"/>
      <c r="K26" s="9"/>
    </row>
    <row r="27" spans="1:16" s="28" customFormat="1" ht="15.75" customHeight="1" x14ac:dyDescent="0.2">
      <c r="A27" s="798" t="s">
        <v>18</v>
      </c>
      <c r="B27" s="800"/>
      <c r="C27" s="27">
        <f t="shared" ref="C27:J27" si="1">SUM(C12:C26)</f>
        <v>39001</v>
      </c>
      <c r="D27" s="315">
        <f t="shared" si="1"/>
        <v>40845.49</v>
      </c>
      <c r="E27" s="27">
        <f t="shared" si="1"/>
        <v>31386</v>
      </c>
      <c r="F27" s="27">
        <f t="shared" si="1"/>
        <v>30070.05</v>
      </c>
      <c r="G27" s="27">
        <f t="shared" si="1"/>
        <v>1137</v>
      </c>
      <c r="H27" s="315">
        <f t="shared" si="1"/>
        <v>1782.6199999999997</v>
      </c>
      <c r="I27" s="27">
        <f t="shared" si="1"/>
        <v>6478</v>
      </c>
      <c r="J27" s="315">
        <f t="shared" si="1"/>
        <v>8992.82</v>
      </c>
      <c r="K27" s="27"/>
    </row>
    <row r="28" spans="1:16" s="12" customFormat="1" x14ac:dyDescent="0.2">
      <c r="A28" s="10"/>
    </row>
    <row r="29" spans="1:16" s="12" customFormat="1" x14ac:dyDescent="0.2">
      <c r="A29" s="10"/>
      <c r="B29" s="28" t="s">
        <v>929</v>
      </c>
    </row>
    <row r="30" spans="1:16" s="12" customFormat="1" x14ac:dyDescent="0.2">
      <c r="A30" s="10"/>
      <c r="B30" s="20" t="s">
        <v>951</v>
      </c>
    </row>
    <row r="31" spans="1:16" s="15" customFormat="1" ht="27.75" customHeight="1" x14ac:dyDescent="0.2">
      <c r="B31" s="1029" t="s">
        <v>952</v>
      </c>
      <c r="C31" s="1029"/>
      <c r="D31" s="1029"/>
      <c r="E31" s="1029"/>
      <c r="F31" s="1029"/>
      <c r="G31" s="1029"/>
      <c r="H31" s="1029"/>
      <c r="K31" s="77"/>
      <c r="L31" s="77"/>
      <c r="M31" s="77"/>
      <c r="N31" s="77"/>
      <c r="O31" s="77"/>
      <c r="P31" s="77"/>
    </row>
    <row r="32" spans="1:16" s="15" customFormat="1" ht="13.9" customHeight="1" x14ac:dyDescent="0.2">
      <c r="B32" s="1029" t="s">
        <v>1070</v>
      </c>
      <c r="C32" s="1029"/>
      <c r="D32" s="1029"/>
      <c r="E32" s="1029"/>
      <c r="F32" s="1029"/>
      <c r="G32" s="1029"/>
      <c r="H32" s="1029"/>
      <c r="I32" s="110"/>
      <c r="J32" s="110"/>
      <c r="K32" s="77"/>
      <c r="L32" s="77"/>
      <c r="M32" s="77"/>
      <c r="N32" s="77"/>
      <c r="O32" s="77"/>
      <c r="P32" s="77"/>
    </row>
    <row r="33" spans="1:16" s="15" customFormat="1" ht="13.9" customHeight="1" x14ac:dyDescent="0.2">
      <c r="B33" s="1029"/>
      <c r="C33" s="1029"/>
      <c r="D33" s="1029"/>
      <c r="E33" s="1029"/>
      <c r="F33" s="1029"/>
      <c r="G33" s="1029"/>
      <c r="H33" s="1029"/>
      <c r="I33" s="821" t="s">
        <v>12</v>
      </c>
      <c r="J33" s="821"/>
      <c r="K33" s="77"/>
      <c r="L33" s="77"/>
      <c r="M33" s="77"/>
      <c r="N33" s="77"/>
      <c r="O33" s="77"/>
      <c r="P33" s="77"/>
    </row>
    <row r="34" spans="1:16" s="15" customFormat="1" ht="13.15" customHeight="1" x14ac:dyDescent="0.2">
      <c r="A34" s="803" t="s">
        <v>13</v>
      </c>
      <c r="B34" s="803"/>
      <c r="C34" s="803"/>
      <c r="D34" s="803"/>
      <c r="E34" s="803"/>
      <c r="F34" s="803"/>
      <c r="G34" s="803"/>
      <c r="H34" s="803"/>
      <c r="I34" s="803"/>
      <c r="J34" s="803"/>
      <c r="K34" s="77"/>
      <c r="L34" s="77"/>
      <c r="M34" s="77"/>
      <c r="N34" s="77"/>
      <c r="O34" s="77"/>
      <c r="P34" s="77"/>
    </row>
    <row r="35" spans="1:16" s="15" customFormat="1" ht="13.15" customHeight="1" x14ac:dyDescent="0.2">
      <c r="A35" s="803" t="s">
        <v>19</v>
      </c>
      <c r="B35" s="803"/>
      <c r="C35" s="803"/>
      <c r="D35" s="803"/>
      <c r="E35" s="803"/>
      <c r="F35" s="803"/>
      <c r="G35" s="803"/>
      <c r="H35" s="803"/>
      <c r="I35" s="803"/>
      <c r="J35" s="803"/>
      <c r="K35" s="77"/>
      <c r="L35" s="77"/>
      <c r="M35" s="77"/>
      <c r="N35" s="77"/>
      <c r="O35" s="77"/>
      <c r="P35" s="77"/>
    </row>
    <row r="36" spans="1:16" s="15" customFormat="1" x14ac:dyDescent="0.2">
      <c r="A36" s="14" t="s">
        <v>22</v>
      </c>
      <c r="B36" s="14"/>
      <c r="C36" s="14"/>
      <c r="D36" s="14"/>
      <c r="E36" s="14"/>
      <c r="F36" s="14"/>
      <c r="H36" s="853" t="s">
        <v>23</v>
      </c>
      <c r="I36" s="853"/>
    </row>
    <row r="37" spans="1:16" s="15" customFormat="1" x14ac:dyDescent="0.2">
      <c r="A37" s="14"/>
    </row>
    <row r="38" spans="1:16" x14ac:dyDescent="0.2">
      <c r="A38" s="922"/>
      <c r="B38" s="922"/>
      <c r="C38" s="922"/>
      <c r="D38" s="922"/>
      <c r="E38" s="922"/>
      <c r="F38" s="922"/>
      <c r="G38" s="922"/>
      <c r="H38" s="922"/>
      <c r="I38" s="922"/>
      <c r="J38" s="922"/>
    </row>
  </sheetData>
  <mergeCells count="24">
    <mergeCell ref="A7:B7"/>
    <mergeCell ref="E7:H7"/>
    <mergeCell ref="I7:K7"/>
    <mergeCell ref="D1:E1"/>
    <mergeCell ref="I1:J1"/>
    <mergeCell ref="A2:J2"/>
    <mergeCell ref="A3:J3"/>
    <mergeCell ref="A5:K5"/>
    <mergeCell ref="A38:J38"/>
    <mergeCell ref="A27:B27"/>
    <mergeCell ref="B31:H31"/>
    <mergeCell ref="C8:J8"/>
    <mergeCell ref="A9:A10"/>
    <mergeCell ref="B9:B10"/>
    <mergeCell ref="C9:D9"/>
    <mergeCell ref="E9:F9"/>
    <mergeCell ref="G9:H9"/>
    <mergeCell ref="I9:J9"/>
    <mergeCell ref="K9:K10"/>
    <mergeCell ref="I33:J33"/>
    <mergeCell ref="A34:J34"/>
    <mergeCell ref="A35:J35"/>
    <mergeCell ref="H36:I36"/>
    <mergeCell ref="B32:H33"/>
  </mergeCells>
  <printOptions horizontalCentered="1"/>
  <pageMargins left="0.70866141732283472" right="0.16" top="0.23622047244094491" bottom="0" header="0.25" footer="0.31496062992125984"/>
  <pageSetup paperSize="9" scale="9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I45"/>
  <sheetViews>
    <sheetView topLeftCell="A16" zoomScale="85" zoomScaleNormal="85" zoomScaleSheetLayoutView="90" workbookViewId="0">
      <selection activeCell="E36" sqref="E36"/>
    </sheetView>
  </sheetViews>
  <sheetFormatPr defaultRowHeight="12.75" x14ac:dyDescent="0.2"/>
  <cols>
    <col min="1" max="1" width="6.28515625" customWidth="1"/>
    <col min="2" max="2" width="14.85546875" bestFit="1" customWidth="1"/>
    <col min="3" max="3" width="14.28515625" customWidth="1"/>
    <col min="4" max="5" width="14.5703125" customWidth="1"/>
    <col min="6" max="6" width="15" customWidth="1"/>
    <col min="7" max="7" width="14.28515625" customWidth="1"/>
    <col min="8" max="8" width="15.140625" customWidth="1"/>
    <col min="9" max="9" width="16.5703125" customWidth="1"/>
    <col min="10" max="10" width="18.28515625" customWidth="1"/>
    <col min="11" max="11" width="14.140625" customWidth="1"/>
    <col min="12" max="13" width="14.140625" style="12" customWidth="1"/>
    <col min="14" max="19" width="14.140625" style="12" hidden="1" customWidth="1"/>
    <col min="20" max="46" width="0" hidden="1" customWidth="1"/>
  </cols>
  <sheetData>
    <row r="1" spans="1:35" ht="15" x14ac:dyDescent="0.2">
      <c r="D1" s="853"/>
      <c r="E1" s="853"/>
      <c r="H1" s="40"/>
      <c r="I1" s="928" t="s">
        <v>377</v>
      </c>
      <c r="J1" s="928"/>
    </row>
    <row r="2" spans="1:35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35" ht="20.25" x14ac:dyDescent="0.3">
      <c r="A3" s="851" t="s">
        <v>743</v>
      </c>
      <c r="B3" s="851"/>
      <c r="C3" s="851"/>
      <c r="D3" s="851"/>
      <c r="E3" s="851"/>
      <c r="F3" s="851"/>
      <c r="G3" s="851"/>
      <c r="H3" s="851"/>
      <c r="I3" s="851"/>
      <c r="J3" s="851"/>
    </row>
    <row r="4" spans="1:35" ht="10.5" customHeight="1" x14ac:dyDescent="0.2"/>
    <row r="5" spans="1:35" s="15" customFormat="1" ht="18.75" customHeight="1" x14ac:dyDescent="0.25">
      <c r="A5" s="1030" t="s">
        <v>432</v>
      </c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389"/>
      <c r="M5" s="389"/>
      <c r="N5" s="389"/>
      <c r="O5" s="389"/>
      <c r="P5" s="389"/>
      <c r="Q5" s="389"/>
      <c r="R5" s="389"/>
      <c r="S5" s="389"/>
    </row>
    <row r="6" spans="1:35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L6" s="20"/>
      <c r="M6" s="20"/>
      <c r="N6" s="20"/>
      <c r="O6" s="20"/>
      <c r="P6" s="20"/>
      <c r="Q6" s="20"/>
      <c r="R6" s="20"/>
      <c r="S6" s="20"/>
    </row>
    <row r="7" spans="1:35" s="15" customFormat="1" x14ac:dyDescent="0.2">
      <c r="A7" s="820" t="s">
        <v>920</v>
      </c>
      <c r="B7" s="820"/>
      <c r="E7" s="980"/>
      <c r="F7" s="980"/>
      <c r="G7" s="980"/>
      <c r="H7" s="980"/>
      <c r="I7" s="980" t="s">
        <v>831</v>
      </c>
      <c r="J7" s="980"/>
      <c r="K7" s="980"/>
      <c r="L7" s="16"/>
      <c r="M7" s="16"/>
      <c r="N7" s="16"/>
      <c r="O7" s="16"/>
      <c r="P7" s="16"/>
      <c r="Q7" s="16"/>
      <c r="R7" s="16"/>
      <c r="S7" s="16"/>
    </row>
    <row r="8" spans="1:35" s="13" customFormat="1" ht="15.75" hidden="1" x14ac:dyDescent="0.25">
      <c r="C8" s="930" t="s">
        <v>15</v>
      </c>
      <c r="D8" s="930"/>
      <c r="E8" s="930"/>
      <c r="F8" s="930"/>
      <c r="G8" s="930"/>
      <c r="H8" s="930"/>
      <c r="I8" s="930"/>
      <c r="J8" s="930"/>
      <c r="L8" s="106"/>
      <c r="M8" s="106"/>
      <c r="N8" s="106"/>
      <c r="O8" s="106"/>
      <c r="P8" s="106"/>
      <c r="Q8" s="106"/>
      <c r="R8" s="106"/>
      <c r="S8" s="106"/>
    </row>
    <row r="9" spans="1:35" ht="30" customHeight="1" x14ac:dyDescent="0.2">
      <c r="A9" s="818" t="s">
        <v>25</v>
      </c>
      <c r="B9" s="818" t="s">
        <v>38</v>
      </c>
      <c r="C9" s="827" t="s">
        <v>861</v>
      </c>
      <c r="D9" s="829"/>
      <c r="E9" s="827" t="s">
        <v>39</v>
      </c>
      <c r="F9" s="829"/>
      <c r="G9" s="827" t="s">
        <v>40</v>
      </c>
      <c r="H9" s="829"/>
      <c r="I9" s="834" t="s">
        <v>107</v>
      </c>
      <c r="J9" s="834"/>
      <c r="K9" s="834" t="s">
        <v>232</v>
      </c>
      <c r="L9" s="104"/>
      <c r="M9" s="104"/>
      <c r="N9" s="104"/>
      <c r="O9" s="104"/>
      <c r="P9" s="104"/>
      <c r="Q9" s="104"/>
      <c r="R9" s="104"/>
      <c r="S9" s="104"/>
      <c r="AB9" s="9"/>
      <c r="AC9" s="12"/>
    </row>
    <row r="10" spans="1:35" s="14" customFormat="1" ht="42.6" customHeight="1" x14ac:dyDescent="0.2">
      <c r="A10" s="819"/>
      <c r="B10" s="819"/>
      <c r="C10" s="5" t="s">
        <v>41</v>
      </c>
      <c r="D10" s="5" t="s">
        <v>106</v>
      </c>
      <c r="E10" s="5" t="s">
        <v>41</v>
      </c>
      <c r="F10" s="5" t="s">
        <v>106</v>
      </c>
      <c r="G10" s="5" t="s">
        <v>41</v>
      </c>
      <c r="H10" s="5" t="s">
        <v>106</v>
      </c>
      <c r="I10" s="5" t="s">
        <v>131</v>
      </c>
      <c r="J10" s="5" t="s">
        <v>132</v>
      </c>
      <c r="K10" s="834"/>
      <c r="L10" s="104"/>
      <c r="M10" s="104"/>
      <c r="N10" s="104"/>
      <c r="O10" s="104"/>
      <c r="P10" s="104"/>
      <c r="Q10" s="104"/>
      <c r="R10" s="104"/>
      <c r="S10" s="104"/>
    </row>
    <row r="11" spans="1:35" x14ac:dyDescent="0.2">
      <c r="A11" s="129">
        <v>1</v>
      </c>
      <c r="B11" s="129">
        <v>2</v>
      </c>
      <c r="C11" s="129">
        <v>3</v>
      </c>
      <c r="D11" s="129">
        <v>4</v>
      </c>
      <c r="E11" s="129">
        <v>5</v>
      </c>
      <c r="F11" s="129">
        <v>6</v>
      </c>
      <c r="G11" s="129">
        <v>7</v>
      </c>
      <c r="H11" s="129">
        <v>8</v>
      </c>
      <c r="I11" s="129">
        <v>9</v>
      </c>
      <c r="J11" s="129">
        <v>10</v>
      </c>
      <c r="K11" s="3">
        <v>11</v>
      </c>
      <c r="L11" s="11"/>
      <c r="M11" s="11"/>
      <c r="N11" s="11"/>
      <c r="O11" s="11"/>
      <c r="P11" s="11"/>
      <c r="Q11" s="11"/>
      <c r="R11" s="11"/>
      <c r="S11" s="11"/>
    </row>
    <row r="12" spans="1:35" x14ac:dyDescent="0.2">
      <c r="A12" s="17">
        <v>1</v>
      </c>
      <c r="B12" s="176" t="s">
        <v>896</v>
      </c>
      <c r="C12" s="368">
        <v>2578</v>
      </c>
      <c r="D12" s="371">
        <v>2844.9250000000002</v>
      </c>
      <c r="E12" s="9">
        <v>2533</v>
      </c>
      <c r="F12" s="371">
        <v>2713.67</v>
      </c>
      <c r="G12" s="380">
        <v>0</v>
      </c>
      <c r="H12" s="313">
        <v>0</v>
      </c>
      <c r="I12" s="376">
        <v>119</v>
      </c>
      <c r="J12" s="323">
        <v>131.255</v>
      </c>
      <c r="K12" s="376">
        <v>0</v>
      </c>
      <c r="M12" s="381"/>
      <c r="N12" s="390">
        <f t="shared" ref="N12:N35" si="0">E12+G12+I12+K12</f>
        <v>2652</v>
      </c>
      <c r="O12" s="390">
        <f>E12+G12+I12</f>
        <v>2652</v>
      </c>
      <c r="P12" s="392">
        <f>F12+H12+J12</f>
        <v>2844.9250000000002</v>
      </c>
      <c r="Q12" s="392">
        <f>P12-D12</f>
        <v>0</v>
      </c>
      <c r="R12" s="392">
        <f>J12-Q12</f>
        <v>131.255</v>
      </c>
      <c r="S12" s="381"/>
      <c r="T12" s="388">
        <v>2257</v>
      </c>
      <c r="U12" s="381">
        <f>E12-T12</f>
        <v>276</v>
      </c>
      <c r="V12" s="381"/>
      <c r="W12">
        <v>13</v>
      </c>
      <c r="X12" s="382">
        <v>106</v>
      </c>
      <c r="Y12">
        <f>SUM(W12:X12)</f>
        <v>119</v>
      </c>
      <c r="AA12">
        <f>Y12+Z12</f>
        <v>119</v>
      </c>
      <c r="AB12" s="378">
        <v>7.8</v>
      </c>
      <c r="AC12" s="377">
        <v>13.8</v>
      </c>
      <c r="AD12">
        <f>4*1.215</f>
        <v>4.8600000000000003</v>
      </c>
      <c r="AE12">
        <f>112*1.635</f>
        <v>183.12</v>
      </c>
      <c r="AF12">
        <f>3*1.635</f>
        <v>4.9050000000000002</v>
      </c>
      <c r="AI12" s="378">
        <f>SUM(AB12:AH12)</f>
        <v>214.48500000000001</v>
      </c>
    </row>
    <row r="13" spans="1:35" x14ac:dyDescent="0.2">
      <c r="A13" s="17">
        <v>2</v>
      </c>
      <c r="B13" s="176" t="s">
        <v>897</v>
      </c>
      <c r="C13" s="368">
        <v>1021</v>
      </c>
      <c r="D13" s="371">
        <v>1095.9449999999999</v>
      </c>
      <c r="E13" s="9">
        <v>887</v>
      </c>
      <c r="F13" s="371">
        <v>860.03</v>
      </c>
      <c r="G13" s="380">
        <v>0</v>
      </c>
      <c r="H13" s="313">
        <v>0</v>
      </c>
      <c r="I13" s="376">
        <v>130</v>
      </c>
      <c r="J13" s="323">
        <v>235.91499999999991</v>
      </c>
      <c r="K13" s="376">
        <v>0</v>
      </c>
      <c r="M13" s="381"/>
      <c r="N13" s="390">
        <f t="shared" si="0"/>
        <v>1017</v>
      </c>
      <c r="O13" s="390">
        <f t="shared" ref="O13:O35" si="1">E13+G13+I13</f>
        <v>1017</v>
      </c>
      <c r="P13" s="392">
        <f t="shared" ref="P13:P35" si="2">F13+H13+J13</f>
        <v>1095.9449999999999</v>
      </c>
      <c r="Q13" s="392">
        <f t="shared" ref="Q13:Q35" si="3">P13-D13</f>
        <v>0</v>
      </c>
      <c r="R13" s="392">
        <f t="shared" ref="R13:R35" si="4">J13-Q13</f>
        <v>235.91499999999991</v>
      </c>
      <c r="S13" s="381"/>
      <c r="T13" s="388">
        <v>886</v>
      </c>
      <c r="U13" s="381">
        <f t="shared" ref="U13:U35" si="5">E13-T13</f>
        <v>1</v>
      </c>
      <c r="V13" s="381"/>
      <c r="W13">
        <v>27</v>
      </c>
      <c r="X13" s="382">
        <v>103</v>
      </c>
      <c r="Y13">
        <f t="shared" ref="Y13:Y35" si="6">SUM(W13:X13)</f>
        <v>130</v>
      </c>
      <c r="AA13">
        <f t="shared" ref="AA13:AA35" si="7">Y13+Z13</f>
        <v>130</v>
      </c>
      <c r="AB13" s="378">
        <v>30.344999999999999</v>
      </c>
      <c r="AC13" s="377">
        <v>13.2</v>
      </c>
      <c r="AD13">
        <f t="shared" ref="AD13:AD35" si="8">4*1.215</f>
        <v>4.8600000000000003</v>
      </c>
      <c r="AE13">
        <f t="shared" ref="AE13:AE35" si="9">112*1.635</f>
        <v>183.12</v>
      </c>
      <c r="AF13">
        <f t="shared" ref="AF13:AF35" si="10">3*1.635</f>
        <v>4.9050000000000002</v>
      </c>
      <c r="AI13" s="378">
        <f t="shared" ref="AI13:AI35" si="11">SUM(AB13:AH13)</f>
        <v>236.43</v>
      </c>
    </row>
    <row r="14" spans="1:35" x14ac:dyDescent="0.2">
      <c r="A14" s="17">
        <v>3</v>
      </c>
      <c r="B14" s="176" t="s">
        <v>898</v>
      </c>
      <c r="C14" s="368">
        <v>710</v>
      </c>
      <c r="D14" s="371">
        <v>771.99</v>
      </c>
      <c r="E14" s="9">
        <v>520</v>
      </c>
      <c r="F14" s="371">
        <v>543.15</v>
      </c>
      <c r="G14" s="380">
        <v>0</v>
      </c>
      <c r="H14" s="313">
        <v>0</v>
      </c>
      <c r="I14" s="376">
        <v>228</v>
      </c>
      <c r="J14" s="323">
        <v>228.83999999999997</v>
      </c>
      <c r="K14" s="376">
        <v>0</v>
      </c>
      <c r="M14" s="381"/>
      <c r="N14" s="390">
        <f t="shared" si="0"/>
        <v>748</v>
      </c>
      <c r="O14" s="390">
        <f t="shared" si="1"/>
        <v>748</v>
      </c>
      <c r="P14" s="392">
        <f t="shared" si="2"/>
        <v>771.99</v>
      </c>
      <c r="Q14" s="392">
        <f t="shared" si="3"/>
        <v>0</v>
      </c>
      <c r="R14" s="392">
        <f t="shared" si="4"/>
        <v>228.83999999999997</v>
      </c>
      <c r="S14" s="381"/>
      <c r="T14" s="388">
        <v>473</v>
      </c>
      <c r="U14" s="381">
        <f t="shared" si="5"/>
        <v>47</v>
      </c>
      <c r="V14" s="381"/>
      <c r="W14">
        <v>123</v>
      </c>
      <c r="X14" s="382">
        <v>105</v>
      </c>
      <c r="Y14">
        <f t="shared" si="6"/>
        <v>228</v>
      </c>
      <c r="AA14">
        <f t="shared" si="7"/>
        <v>228</v>
      </c>
      <c r="AB14" s="378">
        <v>73.8</v>
      </c>
      <c r="AC14" s="377">
        <v>13.8</v>
      </c>
      <c r="AD14">
        <f t="shared" si="8"/>
        <v>4.8600000000000003</v>
      </c>
      <c r="AE14">
        <f t="shared" si="9"/>
        <v>183.12</v>
      </c>
      <c r="AF14">
        <f t="shared" si="10"/>
        <v>4.9050000000000002</v>
      </c>
      <c r="AI14" s="378">
        <f t="shared" si="11"/>
        <v>280.48499999999996</v>
      </c>
    </row>
    <row r="15" spans="1:35" x14ac:dyDescent="0.2">
      <c r="A15" s="17">
        <v>4</v>
      </c>
      <c r="B15" s="176" t="s">
        <v>899</v>
      </c>
      <c r="C15" s="368">
        <v>1776</v>
      </c>
      <c r="D15" s="371">
        <v>1911.345</v>
      </c>
      <c r="E15" s="9">
        <v>1427</v>
      </c>
      <c r="F15" s="371">
        <v>1566.87</v>
      </c>
      <c r="G15" s="380">
        <v>0</v>
      </c>
      <c r="H15" s="313">
        <v>0</v>
      </c>
      <c r="I15" s="376">
        <v>349</v>
      </c>
      <c r="J15" s="323">
        <v>344.47500000000008</v>
      </c>
      <c r="K15" s="376">
        <v>347</v>
      </c>
      <c r="M15" s="381"/>
      <c r="N15" s="390">
        <f t="shared" si="0"/>
        <v>2123</v>
      </c>
      <c r="O15" s="390">
        <f t="shared" si="1"/>
        <v>1776</v>
      </c>
      <c r="P15" s="392">
        <f t="shared" si="2"/>
        <v>1911.345</v>
      </c>
      <c r="Q15" s="392">
        <f t="shared" si="3"/>
        <v>0</v>
      </c>
      <c r="R15" s="392">
        <f t="shared" si="4"/>
        <v>344.47500000000008</v>
      </c>
      <c r="S15" s="381"/>
      <c r="T15" s="388">
        <v>1427</v>
      </c>
      <c r="U15" s="381">
        <f t="shared" si="5"/>
        <v>0</v>
      </c>
      <c r="V15" s="381"/>
      <c r="W15">
        <v>179</v>
      </c>
      <c r="X15" s="382">
        <v>170</v>
      </c>
      <c r="Y15">
        <f t="shared" si="6"/>
        <v>349</v>
      </c>
      <c r="AA15">
        <f t="shared" si="7"/>
        <v>349</v>
      </c>
      <c r="AB15" s="378">
        <v>107.4</v>
      </c>
      <c r="AC15" s="377">
        <v>13.8</v>
      </c>
      <c r="AD15">
        <f t="shared" si="8"/>
        <v>4.8600000000000003</v>
      </c>
      <c r="AE15">
        <f t="shared" si="9"/>
        <v>183.12</v>
      </c>
      <c r="AF15">
        <f t="shared" si="10"/>
        <v>4.9050000000000002</v>
      </c>
      <c r="AI15" s="378">
        <f t="shared" si="11"/>
        <v>314.08499999999998</v>
      </c>
    </row>
    <row r="16" spans="1:35" x14ac:dyDescent="0.2">
      <c r="A16" s="17">
        <v>5</v>
      </c>
      <c r="B16" s="176" t="s">
        <v>900</v>
      </c>
      <c r="C16" s="368">
        <v>1025</v>
      </c>
      <c r="D16" s="371">
        <v>959.53499999999997</v>
      </c>
      <c r="E16" s="9">
        <v>918</v>
      </c>
      <c r="F16" s="371">
        <v>762.66</v>
      </c>
      <c r="G16" s="380">
        <v>0</v>
      </c>
      <c r="H16" s="313">
        <v>0</v>
      </c>
      <c r="I16" s="376">
        <v>107</v>
      </c>
      <c r="J16" s="323">
        <v>196.87500000000003</v>
      </c>
      <c r="K16" s="376">
        <v>0</v>
      </c>
      <c r="M16" s="381"/>
      <c r="N16" s="390">
        <f t="shared" si="0"/>
        <v>1025</v>
      </c>
      <c r="O16" s="390">
        <f t="shared" si="1"/>
        <v>1025</v>
      </c>
      <c r="P16" s="392">
        <f t="shared" si="2"/>
        <v>959.53499999999997</v>
      </c>
      <c r="Q16" s="392">
        <f t="shared" si="3"/>
        <v>0</v>
      </c>
      <c r="R16" s="392">
        <f t="shared" si="4"/>
        <v>196.87500000000003</v>
      </c>
      <c r="S16" s="381"/>
      <c r="T16" s="388">
        <v>918</v>
      </c>
      <c r="U16" s="381">
        <f t="shared" si="5"/>
        <v>0</v>
      </c>
      <c r="V16" s="381"/>
      <c r="W16">
        <v>2</v>
      </c>
      <c r="X16" s="382">
        <v>105</v>
      </c>
      <c r="Y16">
        <f t="shared" si="6"/>
        <v>107</v>
      </c>
      <c r="AA16">
        <f t="shared" si="7"/>
        <v>107</v>
      </c>
      <c r="AB16" s="378">
        <v>1.2</v>
      </c>
      <c r="AC16" s="377">
        <v>13.2</v>
      </c>
      <c r="AD16">
        <f t="shared" si="8"/>
        <v>4.8600000000000003</v>
      </c>
      <c r="AE16">
        <f t="shared" si="9"/>
        <v>183.12</v>
      </c>
      <c r="AF16">
        <f t="shared" si="10"/>
        <v>4.9050000000000002</v>
      </c>
      <c r="AI16" s="378">
        <f t="shared" si="11"/>
        <v>207.285</v>
      </c>
    </row>
    <row r="17" spans="1:35" x14ac:dyDescent="0.2">
      <c r="A17" s="17">
        <v>6</v>
      </c>
      <c r="B17" s="176" t="s">
        <v>901</v>
      </c>
      <c r="C17" s="368">
        <v>1897</v>
      </c>
      <c r="D17" s="371">
        <v>1870.2349999999999</v>
      </c>
      <c r="E17" s="9">
        <v>1608</v>
      </c>
      <c r="F17" s="371">
        <v>1662.58</v>
      </c>
      <c r="G17" s="380">
        <v>0</v>
      </c>
      <c r="H17" s="313">
        <v>0</v>
      </c>
      <c r="I17" s="376">
        <v>273</v>
      </c>
      <c r="J17" s="323">
        <v>207.65500000000014</v>
      </c>
      <c r="K17" s="376">
        <v>0</v>
      </c>
      <c r="M17" s="381"/>
      <c r="N17" s="390">
        <f t="shared" si="0"/>
        <v>1881</v>
      </c>
      <c r="O17" s="390">
        <f t="shared" si="1"/>
        <v>1881</v>
      </c>
      <c r="P17" s="392">
        <f t="shared" si="2"/>
        <v>1870.2350000000001</v>
      </c>
      <c r="Q17" s="392">
        <f t="shared" si="3"/>
        <v>0</v>
      </c>
      <c r="R17" s="392">
        <f t="shared" si="4"/>
        <v>207.65500000000014</v>
      </c>
      <c r="S17" s="381"/>
      <c r="T17" s="388">
        <v>1548</v>
      </c>
      <c r="U17" s="381">
        <f t="shared" si="5"/>
        <v>60</v>
      </c>
      <c r="V17" s="381"/>
      <c r="W17">
        <v>167</v>
      </c>
      <c r="X17" s="382">
        <v>106</v>
      </c>
      <c r="Y17">
        <f t="shared" si="6"/>
        <v>273</v>
      </c>
      <c r="AA17">
        <f t="shared" si="7"/>
        <v>273</v>
      </c>
      <c r="AB17" s="378">
        <v>278.47500000000002</v>
      </c>
      <c r="AC17" s="377">
        <v>13.8</v>
      </c>
      <c r="AD17">
        <f t="shared" si="8"/>
        <v>4.8600000000000003</v>
      </c>
      <c r="AE17">
        <f t="shared" si="9"/>
        <v>183.12</v>
      </c>
      <c r="AF17">
        <f t="shared" si="10"/>
        <v>4.9050000000000002</v>
      </c>
      <c r="AI17" s="378">
        <f t="shared" si="11"/>
        <v>485.16</v>
      </c>
    </row>
    <row r="18" spans="1:35" x14ac:dyDescent="0.2">
      <c r="A18" s="17">
        <v>7</v>
      </c>
      <c r="B18" s="176" t="s">
        <v>902</v>
      </c>
      <c r="C18" s="368">
        <v>1578</v>
      </c>
      <c r="D18" s="371">
        <v>1613.52</v>
      </c>
      <c r="E18" s="9">
        <v>1381</v>
      </c>
      <c r="F18" s="371">
        <v>1006.12</v>
      </c>
      <c r="G18" s="380">
        <v>0</v>
      </c>
      <c r="H18" s="313">
        <v>0</v>
      </c>
      <c r="I18" s="376">
        <v>353</v>
      </c>
      <c r="J18" s="323">
        <v>607.40000000000009</v>
      </c>
      <c r="K18" s="376">
        <v>0</v>
      </c>
      <c r="M18" s="381"/>
      <c r="N18" s="390">
        <f t="shared" si="0"/>
        <v>1734</v>
      </c>
      <c r="O18" s="390">
        <f t="shared" si="1"/>
        <v>1734</v>
      </c>
      <c r="P18" s="392">
        <f t="shared" si="2"/>
        <v>1613.52</v>
      </c>
      <c r="Q18" s="392">
        <f t="shared" si="3"/>
        <v>0</v>
      </c>
      <c r="R18" s="392">
        <f t="shared" si="4"/>
        <v>607.40000000000009</v>
      </c>
      <c r="S18" s="381"/>
      <c r="T18" s="388">
        <v>1230</v>
      </c>
      <c r="U18" s="381">
        <f t="shared" si="5"/>
        <v>151</v>
      </c>
      <c r="V18" s="381"/>
      <c r="W18">
        <v>247</v>
      </c>
      <c r="X18" s="382">
        <v>106</v>
      </c>
      <c r="Y18">
        <f t="shared" si="6"/>
        <v>353</v>
      </c>
      <c r="AA18">
        <f t="shared" si="7"/>
        <v>353</v>
      </c>
      <c r="AB18" s="378">
        <v>424.815</v>
      </c>
      <c r="AC18" s="377">
        <v>13.8</v>
      </c>
      <c r="AD18">
        <f t="shared" si="8"/>
        <v>4.8600000000000003</v>
      </c>
      <c r="AE18">
        <f t="shared" si="9"/>
        <v>183.12</v>
      </c>
      <c r="AF18">
        <f t="shared" si="10"/>
        <v>4.9050000000000002</v>
      </c>
      <c r="AI18" s="378">
        <f t="shared" si="11"/>
        <v>631.5</v>
      </c>
    </row>
    <row r="19" spans="1:35" x14ac:dyDescent="0.2">
      <c r="A19" s="17">
        <v>8</v>
      </c>
      <c r="B19" s="176" t="s">
        <v>903</v>
      </c>
      <c r="C19" s="368">
        <v>2253</v>
      </c>
      <c r="D19" s="371">
        <v>2252.9720000000002</v>
      </c>
      <c r="E19" s="9">
        <v>1966</v>
      </c>
      <c r="F19" s="371">
        <v>1766.49</v>
      </c>
      <c r="G19" s="380">
        <v>88</v>
      </c>
      <c r="H19" s="313">
        <v>86.92</v>
      </c>
      <c r="I19" s="376">
        <v>299</v>
      </c>
      <c r="J19" s="323">
        <v>399.56200000000013</v>
      </c>
      <c r="K19" s="376">
        <v>0</v>
      </c>
      <c r="M19" s="381"/>
      <c r="N19" s="390">
        <f t="shared" si="0"/>
        <v>2353</v>
      </c>
      <c r="O19" s="390">
        <f t="shared" si="1"/>
        <v>2353</v>
      </c>
      <c r="P19" s="392">
        <f t="shared" si="2"/>
        <v>2252.9720000000002</v>
      </c>
      <c r="Q19" s="392">
        <f t="shared" si="3"/>
        <v>0</v>
      </c>
      <c r="R19" s="392">
        <f t="shared" si="4"/>
        <v>399.56200000000013</v>
      </c>
      <c r="S19" s="381"/>
      <c r="T19" s="388">
        <v>1966</v>
      </c>
      <c r="U19" s="381">
        <f t="shared" si="5"/>
        <v>0</v>
      </c>
      <c r="V19" s="381"/>
      <c r="W19">
        <v>193</v>
      </c>
      <c r="X19" s="382">
        <v>106</v>
      </c>
      <c r="Y19">
        <f t="shared" si="6"/>
        <v>299</v>
      </c>
      <c r="AA19">
        <f t="shared" si="7"/>
        <v>299</v>
      </c>
      <c r="AB19" s="378">
        <v>335.14499999999998</v>
      </c>
      <c r="AC19" s="377">
        <v>13.8</v>
      </c>
      <c r="AD19">
        <f t="shared" si="8"/>
        <v>4.8600000000000003</v>
      </c>
      <c r="AE19">
        <f t="shared" si="9"/>
        <v>183.12</v>
      </c>
      <c r="AF19">
        <f t="shared" si="10"/>
        <v>4.9050000000000002</v>
      </c>
      <c r="AH19" s="385">
        <v>0.61499999999999999</v>
      </c>
      <c r="AI19" s="378">
        <f t="shared" si="11"/>
        <v>542.44499999999994</v>
      </c>
    </row>
    <row r="20" spans="1:35" x14ac:dyDescent="0.2">
      <c r="A20" s="17">
        <v>9</v>
      </c>
      <c r="B20" s="176" t="s">
        <v>904</v>
      </c>
      <c r="C20" s="368">
        <v>2383</v>
      </c>
      <c r="D20" s="371">
        <v>2456.3249999999998</v>
      </c>
      <c r="E20" s="9">
        <v>2268</v>
      </c>
      <c r="F20" s="371">
        <v>2253.63</v>
      </c>
      <c r="G20" s="380">
        <v>0</v>
      </c>
      <c r="H20" s="313">
        <v>0</v>
      </c>
      <c r="I20" s="376">
        <v>115</v>
      </c>
      <c r="J20" s="323">
        <v>202.69499999999968</v>
      </c>
      <c r="K20" s="376">
        <v>0</v>
      </c>
      <c r="M20" s="381"/>
      <c r="N20" s="390">
        <f t="shared" si="0"/>
        <v>2383</v>
      </c>
      <c r="O20" s="390">
        <f t="shared" si="1"/>
        <v>2383</v>
      </c>
      <c r="P20" s="392">
        <f t="shared" si="2"/>
        <v>2456.3249999999998</v>
      </c>
      <c r="Q20" s="392">
        <f t="shared" si="3"/>
        <v>0</v>
      </c>
      <c r="R20" s="392">
        <f t="shared" si="4"/>
        <v>202.69499999999968</v>
      </c>
      <c r="S20" s="381"/>
      <c r="T20" s="388">
        <v>2268</v>
      </c>
      <c r="U20" s="381">
        <f t="shared" si="5"/>
        <v>0</v>
      </c>
      <c r="V20" s="381"/>
      <c r="W20">
        <v>9</v>
      </c>
      <c r="X20" s="382">
        <v>106</v>
      </c>
      <c r="Y20">
        <f t="shared" si="6"/>
        <v>115</v>
      </c>
      <c r="AA20">
        <f t="shared" si="7"/>
        <v>115</v>
      </c>
      <c r="AB20" s="378">
        <v>5.4</v>
      </c>
      <c r="AC20" s="377">
        <v>13.8</v>
      </c>
      <c r="AD20">
        <f t="shared" si="8"/>
        <v>4.8600000000000003</v>
      </c>
      <c r="AE20">
        <f t="shared" si="9"/>
        <v>183.12</v>
      </c>
      <c r="AF20">
        <f t="shared" si="10"/>
        <v>4.9050000000000002</v>
      </c>
      <c r="AI20" s="378">
        <f t="shared" si="11"/>
        <v>212.08500000000001</v>
      </c>
    </row>
    <row r="21" spans="1:35" x14ac:dyDescent="0.2">
      <c r="A21" s="17">
        <v>10</v>
      </c>
      <c r="B21" s="176" t="s">
        <v>905</v>
      </c>
      <c r="C21" s="368">
        <v>1119</v>
      </c>
      <c r="D21" s="371">
        <v>1048.7249999999999</v>
      </c>
      <c r="E21" s="9">
        <v>435</v>
      </c>
      <c r="F21" s="371">
        <v>283.23</v>
      </c>
      <c r="G21" s="380">
        <v>301</v>
      </c>
      <c r="H21" s="313">
        <f>D21-F21-J21</f>
        <v>459.20999999999992</v>
      </c>
      <c r="I21" s="376">
        <v>270</v>
      </c>
      <c r="J21" s="323">
        <v>306.28499999999997</v>
      </c>
      <c r="K21" s="376">
        <v>260</v>
      </c>
      <c r="M21" s="381"/>
      <c r="N21" s="390">
        <f t="shared" si="0"/>
        <v>1266</v>
      </c>
      <c r="O21" s="390">
        <f t="shared" si="1"/>
        <v>1006</v>
      </c>
      <c r="P21" s="392">
        <f t="shared" si="2"/>
        <v>1048.7249999999999</v>
      </c>
      <c r="Q21" s="392">
        <f t="shared" si="3"/>
        <v>0</v>
      </c>
      <c r="R21" s="392">
        <f t="shared" si="4"/>
        <v>306.28499999999997</v>
      </c>
      <c r="S21" s="381"/>
      <c r="T21" s="388">
        <v>435</v>
      </c>
      <c r="U21" s="381">
        <f t="shared" si="5"/>
        <v>0</v>
      </c>
      <c r="V21" s="381"/>
      <c r="W21">
        <v>150</v>
      </c>
      <c r="X21" s="382">
        <v>104</v>
      </c>
      <c r="Y21">
        <f t="shared" si="6"/>
        <v>254</v>
      </c>
      <c r="Z21">
        <v>16</v>
      </c>
      <c r="AA21">
        <f t="shared" si="7"/>
        <v>270</v>
      </c>
      <c r="AB21" s="378">
        <v>90</v>
      </c>
      <c r="AC21" s="377">
        <v>13.8</v>
      </c>
      <c r="AD21">
        <f t="shared" si="8"/>
        <v>4.8600000000000003</v>
      </c>
      <c r="AE21">
        <f t="shared" si="9"/>
        <v>183.12</v>
      </c>
      <c r="AF21">
        <f t="shared" si="10"/>
        <v>4.9050000000000002</v>
      </c>
      <c r="AH21">
        <v>9.6</v>
      </c>
      <c r="AI21" s="378">
        <f t="shared" si="11"/>
        <v>306.28499999999997</v>
      </c>
    </row>
    <row r="22" spans="1:35" x14ac:dyDescent="0.2">
      <c r="A22" s="17">
        <v>11</v>
      </c>
      <c r="B22" s="176" t="s">
        <v>906</v>
      </c>
      <c r="C22" s="368">
        <v>1423</v>
      </c>
      <c r="D22" s="371">
        <v>1578.135</v>
      </c>
      <c r="E22" s="9">
        <v>1267</v>
      </c>
      <c r="F22" s="371">
        <v>1427.3</v>
      </c>
      <c r="G22" s="380">
        <v>0</v>
      </c>
      <c r="H22" s="313">
        <v>0</v>
      </c>
      <c r="I22" s="376">
        <v>156</v>
      </c>
      <c r="J22" s="323">
        <v>150.83500000000006</v>
      </c>
      <c r="K22" s="376">
        <v>0</v>
      </c>
      <c r="M22" s="381"/>
      <c r="N22" s="390">
        <f t="shared" si="0"/>
        <v>1423</v>
      </c>
      <c r="O22" s="390">
        <f t="shared" si="1"/>
        <v>1423</v>
      </c>
      <c r="P22" s="392">
        <f t="shared" si="2"/>
        <v>1578.135</v>
      </c>
      <c r="Q22" s="392">
        <f t="shared" si="3"/>
        <v>0</v>
      </c>
      <c r="R22" s="392">
        <f t="shared" si="4"/>
        <v>150.83500000000006</v>
      </c>
      <c r="S22" s="381"/>
      <c r="T22" s="388">
        <v>1181</v>
      </c>
      <c r="U22" s="381">
        <f t="shared" si="5"/>
        <v>86</v>
      </c>
      <c r="V22" s="381"/>
      <c r="W22">
        <v>52</v>
      </c>
      <c r="X22" s="382">
        <v>104</v>
      </c>
      <c r="Y22">
        <f t="shared" si="6"/>
        <v>156</v>
      </c>
      <c r="AA22">
        <f t="shared" si="7"/>
        <v>156</v>
      </c>
      <c r="AB22" s="378">
        <v>31.2</v>
      </c>
      <c r="AC22" s="377">
        <v>13.8</v>
      </c>
      <c r="AD22">
        <f t="shared" si="8"/>
        <v>4.8600000000000003</v>
      </c>
      <c r="AE22">
        <f t="shared" si="9"/>
        <v>183.12</v>
      </c>
      <c r="AF22">
        <f t="shared" si="10"/>
        <v>4.9050000000000002</v>
      </c>
      <c r="AI22" s="378">
        <f t="shared" si="11"/>
        <v>237.88500000000002</v>
      </c>
    </row>
    <row r="23" spans="1:35" x14ac:dyDescent="0.2">
      <c r="A23" s="17">
        <v>12</v>
      </c>
      <c r="B23" s="269" t="s">
        <v>907</v>
      </c>
      <c r="C23" s="368">
        <v>1503</v>
      </c>
      <c r="D23" s="371">
        <v>1591.4960000000001</v>
      </c>
      <c r="E23" s="9">
        <v>1403</v>
      </c>
      <c r="F23" s="371">
        <v>1393.85</v>
      </c>
      <c r="G23" s="380">
        <v>0</v>
      </c>
      <c r="H23" s="313">
        <v>0</v>
      </c>
      <c r="I23" s="376">
        <v>99</v>
      </c>
      <c r="J23" s="323">
        <v>197.64600000000016</v>
      </c>
      <c r="K23" s="376">
        <v>0</v>
      </c>
      <c r="M23" s="381"/>
      <c r="N23" s="390">
        <f t="shared" si="0"/>
        <v>1502</v>
      </c>
      <c r="O23" s="390">
        <f t="shared" si="1"/>
        <v>1502</v>
      </c>
      <c r="P23" s="392">
        <f t="shared" si="2"/>
        <v>1591.4960000000001</v>
      </c>
      <c r="Q23" s="392">
        <f t="shared" si="3"/>
        <v>0</v>
      </c>
      <c r="R23" s="392">
        <f t="shared" si="4"/>
        <v>197.64600000000016</v>
      </c>
      <c r="S23" s="381"/>
      <c r="T23" s="388">
        <v>1403</v>
      </c>
      <c r="U23" s="381">
        <f t="shared" si="5"/>
        <v>0</v>
      </c>
      <c r="V23" s="381"/>
      <c r="W23">
        <v>4</v>
      </c>
      <c r="X23" s="382">
        <v>95</v>
      </c>
      <c r="Y23">
        <f t="shared" si="6"/>
        <v>99</v>
      </c>
      <c r="AA23">
        <f t="shared" si="7"/>
        <v>99</v>
      </c>
      <c r="AB23" s="378">
        <v>2.4</v>
      </c>
      <c r="AC23" s="377">
        <v>13.8</v>
      </c>
      <c r="AD23">
        <f t="shared" si="8"/>
        <v>4.8600000000000003</v>
      </c>
      <c r="AE23">
        <f t="shared" si="9"/>
        <v>183.12</v>
      </c>
      <c r="AF23">
        <f t="shared" si="10"/>
        <v>4.9050000000000002</v>
      </c>
      <c r="AI23" s="378">
        <f t="shared" si="11"/>
        <v>209.08500000000001</v>
      </c>
    </row>
    <row r="24" spans="1:35" x14ac:dyDescent="0.2">
      <c r="A24" s="17">
        <v>13</v>
      </c>
      <c r="B24" s="176" t="s">
        <v>908</v>
      </c>
      <c r="C24" s="368">
        <v>748</v>
      </c>
      <c r="D24" s="371">
        <v>729</v>
      </c>
      <c r="E24" s="9">
        <v>544</v>
      </c>
      <c r="F24" s="371">
        <v>398.94</v>
      </c>
      <c r="G24" s="380">
        <v>0</v>
      </c>
      <c r="H24" s="313">
        <v>0</v>
      </c>
      <c r="I24" s="376">
        <v>138</v>
      </c>
      <c r="J24" s="323">
        <v>330.06</v>
      </c>
      <c r="K24" s="376">
        <v>124</v>
      </c>
      <c r="M24" s="381"/>
      <c r="N24" s="390">
        <f t="shared" si="0"/>
        <v>806</v>
      </c>
      <c r="O24" s="390">
        <f t="shared" si="1"/>
        <v>682</v>
      </c>
      <c r="P24" s="392">
        <f t="shared" si="2"/>
        <v>729</v>
      </c>
      <c r="Q24" s="392">
        <f t="shared" si="3"/>
        <v>0</v>
      </c>
      <c r="R24" s="392">
        <f t="shared" si="4"/>
        <v>330.06</v>
      </c>
      <c r="S24" s="381"/>
      <c r="T24" s="388">
        <v>544</v>
      </c>
      <c r="U24" s="381">
        <f t="shared" si="5"/>
        <v>0</v>
      </c>
      <c r="V24" s="381"/>
      <c r="W24">
        <v>0</v>
      </c>
      <c r="X24" s="382">
        <v>138</v>
      </c>
      <c r="Y24">
        <f t="shared" si="6"/>
        <v>138</v>
      </c>
      <c r="AA24">
        <f t="shared" si="7"/>
        <v>138</v>
      </c>
      <c r="AB24" s="378">
        <v>0</v>
      </c>
      <c r="AC24" s="377">
        <v>13.8</v>
      </c>
      <c r="AD24">
        <f t="shared" si="8"/>
        <v>4.8600000000000003</v>
      </c>
      <c r="AE24" s="378">
        <f t="shared" si="9"/>
        <v>183.12</v>
      </c>
      <c r="AF24">
        <f t="shared" si="10"/>
        <v>4.9050000000000002</v>
      </c>
      <c r="AI24" s="378">
        <f t="shared" si="11"/>
        <v>206.685</v>
      </c>
    </row>
    <row r="25" spans="1:35" x14ac:dyDescent="0.2">
      <c r="A25" s="17">
        <v>14</v>
      </c>
      <c r="B25" s="176" t="s">
        <v>909</v>
      </c>
      <c r="C25" s="368">
        <v>771</v>
      </c>
      <c r="D25" s="371">
        <v>865.44500000000005</v>
      </c>
      <c r="E25" s="9">
        <v>635</v>
      </c>
      <c r="F25" s="371">
        <v>622.75</v>
      </c>
      <c r="G25" s="380">
        <v>32</v>
      </c>
      <c r="H25" s="313">
        <f>D25-F25-J25</f>
        <v>36.010000000000048</v>
      </c>
      <c r="I25" s="376">
        <v>104</v>
      </c>
      <c r="J25" s="323">
        <v>206.685</v>
      </c>
      <c r="K25" s="376">
        <v>0</v>
      </c>
      <c r="M25" s="381"/>
      <c r="N25" s="390">
        <f t="shared" si="0"/>
        <v>771</v>
      </c>
      <c r="O25" s="390">
        <f t="shared" si="1"/>
        <v>771</v>
      </c>
      <c r="P25" s="392">
        <f t="shared" si="2"/>
        <v>865.44499999999994</v>
      </c>
      <c r="Q25" s="392">
        <f t="shared" si="3"/>
        <v>0</v>
      </c>
      <c r="R25" s="392">
        <f t="shared" si="4"/>
        <v>206.685</v>
      </c>
      <c r="S25" s="381"/>
      <c r="T25" s="388">
        <v>635</v>
      </c>
      <c r="U25" s="381">
        <f t="shared" si="5"/>
        <v>0</v>
      </c>
      <c r="V25" s="381"/>
      <c r="W25">
        <v>0</v>
      </c>
      <c r="X25" s="382">
        <v>104</v>
      </c>
      <c r="Y25">
        <f t="shared" si="6"/>
        <v>104</v>
      </c>
      <c r="AA25">
        <f t="shared" si="7"/>
        <v>104</v>
      </c>
      <c r="AB25" s="378">
        <v>0</v>
      </c>
      <c r="AC25" s="377">
        <v>13.8</v>
      </c>
      <c r="AD25">
        <f t="shared" si="8"/>
        <v>4.8600000000000003</v>
      </c>
      <c r="AE25" s="378">
        <f t="shared" si="9"/>
        <v>183.12</v>
      </c>
      <c r="AF25">
        <f t="shared" si="10"/>
        <v>4.9050000000000002</v>
      </c>
      <c r="AI25" s="378">
        <f t="shared" si="11"/>
        <v>206.685</v>
      </c>
    </row>
    <row r="26" spans="1:35" x14ac:dyDescent="0.2">
      <c r="A26" s="17">
        <v>15</v>
      </c>
      <c r="B26" s="176" t="s">
        <v>910</v>
      </c>
      <c r="C26" s="368">
        <v>1829</v>
      </c>
      <c r="D26" s="371">
        <v>2022.5980000000002</v>
      </c>
      <c r="E26" s="9">
        <v>1503</v>
      </c>
      <c r="F26" s="371">
        <v>1198.1400000000001</v>
      </c>
      <c r="G26" s="380">
        <v>0</v>
      </c>
      <c r="H26" s="313">
        <v>0</v>
      </c>
      <c r="I26" s="376">
        <v>305</v>
      </c>
      <c r="J26" s="323">
        <v>824.45800000000008</v>
      </c>
      <c r="K26" s="376">
        <v>0</v>
      </c>
      <c r="M26" s="381"/>
      <c r="N26" s="390">
        <f t="shared" si="0"/>
        <v>1808</v>
      </c>
      <c r="O26" s="390">
        <f t="shared" si="1"/>
        <v>1808</v>
      </c>
      <c r="P26" s="392">
        <f t="shared" si="2"/>
        <v>2022.5980000000002</v>
      </c>
      <c r="Q26" s="392">
        <f t="shared" si="3"/>
        <v>0</v>
      </c>
      <c r="R26" s="392">
        <f t="shared" si="4"/>
        <v>824.45800000000008</v>
      </c>
      <c r="S26" s="381"/>
      <c r="T26" s="388">
        <v>872</v>
      </c>
      <c r="U26" s="381">
        <f t="shared" si="5"/>
        <v>631</v>
      </c>
      <c r="V26" s="381"/>
      <c r="W26">
        <v>201</v>
      </c>
      <c r="X26" s="382">
        <v>104</v>
      </c>
      <c r="Y26">
        <f t="shared" si="6"/>
        <v>305</v>
      </c>
      <c r="AA26">
        <f t="shared" si="7"/>
        <v>305</v>
      </c>
      <c r="AB26" s="378">
        <v>465.42</v>
      </c>
      <c r="AC26" s="377">
        <v>13.8</v>
      </c>
      <c r="AD26">
        <f t="shared" si="8"/>
        <v>4.8600000000000003</v>
      </c>
      <c r="AE26" s="378">
        <f t="shared" si="9"/>
        <v>183.12</v>
      </c>
      <c r="AF26">
        <f t="shared" si="10"/>
        <v>4.9050000000000002</v>
      </c>
      <c r="AI26" s="378">
        <f t="shared" si="11"/>
        <v>672.10500000000002</v>
      </c>
    </row>
    <row r="27" spans="1:35" x14ac:dyDescent="0.2">
      <c r="A27" s="17">
        <v>16</v>
      </c>
      <c r="B27" s="176" t="s">
        <v>911</v>
      </c>
      <c r="C27" s="368">
        <v>3100</v>
      </c>
      <c r="D27" s="371">
        <v>3053.145</v>
      </c>
      <c r="E27" s="9">
        <v>1906</v>
      </c>
      <c r="F27" s="371">
        <v>1909.06</v>
      </c>
      <c r="G27" s="380">
        <v>167</v>
      </c>
      <c r="H27" s="313">
        <f>1782.62-1308.48</f>
        <v>474.13999999999987</v>
      </c>
      <c r="I27" s="376">
        <v>813</v>
      </c>
      <c r="J27" s="323">
        <v>669.94500000000005</v>
      </c>
      <c r="K27" s="376">
        <v>604</v>
      </c>
      <c r="M27" s="381"/>
      <c r="N27" s="390">
        <f t="shared" si="0"/>
        <v>3490</v>
      </c>
      <c r="O27" s="390">
        <f t="shared" si="1"/>
        <v>2886</v>
      </c>
      <c r="P27" s="392">
        <f t="shared" si="2"/>
        <v>3053.145</v>
      </c>
      <c r="Q27" s="392">
        <f t="shared" si="3"/>
        <v>0</v>
      </c>
      <c r="R27" s="392">
        <f t="shared" si="4"/>
        <v>669.94500000000005</v>
      </c>
      <c r="S27" s="381"/>
      <c r="T27" s="388">
        <v>1855</v>
      </c>
      <c r="U27" s="381">
        <f t="shared" si="5"/>
        <v>51</v>
      </c>
      <c r="V27" s="381"/>
      <c r="W27">
        <v>154</v>
      </c>
      <c r="X27" s="382">
        <v>473</v>
      </c>
      <c r="Y27">
        <f t="shared" si="6"/>
        <v>627</v>
      </c>
      <c r="Z27">
        <v>186</v>
      </c>
      <c r="AA27">
        <f t="shared" si="7"/>
        <v>813</v>
      </c>
      <c r="AB27" s="378">
        <v>92.4</v>
      </c>
      <c r="AC27" s="377">
        <v>13.8</v>
      </c>
      <c r="AD27">
        <v>17.010000000000002</v>
      </c>
      <c r="AE27" s="378">
        <f>183.12+17.985</f>
        <v>201.10500000000002</v>
      </c>
      <c r="AF27">
        <f>4.905+9.81</f>
        <v>14.715</v>
      </c>
      <c r="AG27">
        <f>34*2.22</f>
        <v>75.48</v>
      </c>
      <c r="AH27">
        <v>111.6</v>
      </c>
      <c r="AI27" s="378">
        <f t="shared" si="11"/>
        <v>526.11</v>
      </c>
    </row>
    <row r="28" spans="1:35" x14ac:dyDescent="0.2">
      <c r="A28" s="17">
        <v>17</v>
      </c>
      <c r="B28" s="176" t="s">
        <v>912</v>
      </c>
      <c r="C28" s="368">
        <v>1908</v>
      </c>
      <c r="D28" s="371">
        <v>1983.6</v>
      </c>
      <c r="E28" s="9">
        <v>1412</v>
      </c>
      <c r="F28" s="371">
        <v>1276.46</v>
      </c>
      <c r="G28" s="380">
        <v>0</v>
      </c>
      <c r="H28" s="313">
        <v>0</v>
      </c>
      <c r="I28" s="376">
        <v>518</v>
      </c>
      <c r="J28" s="323">
        <v>707.13999999999987</v>
      </c>
      <c r="K28" s="376">
        <v>0</v>
      </c>
      <c r="M28" s="381"/>
      <c r="N28" s="390">
        <f t="shared" si="0"/>
        <v>1930</v>
      </c>
      <c r="O28" s="390">
        <f t="shared" si="1"/>
        <v>1930</v>
      </c>
      <c r="P28" s="392">
        <f t="shared" si="2"/>
        <v>1983.6</v>
      </c>
      <c r="Q28" s="392">
        <f t="shared" si="3"/>
        <v>0</v>
      </c>
      <c r="R28" s="392">
        <f t="shared" si="4"/>
        <v>707.13999999999987</v>
      </c>
      <c r="S28" s="381"/>
      <c r="T28" s="388">
        <v>1305</v>
      </c>
      <c r="U28" s="381">
        <f t="shared" si="5"/>
        <v>107</v>
      </c>
      <c r="V28" s="381"/>
      <c r="W28">
        <v>0</v>
      </c>
      <c r="X28" s="382">
        <v>518</v>
      </c>
      <c r="Y28">
        <f t="shared" si="6"/>
        <v>518</v>
      </c>
      <c r="AA28">
        <f t="shared" si="7"/>
        <v>518</v>
      </c>
      <c r="AB28" s="378">
        <v>0</v>
      </c>
      <c r="AC28" s="377">
        <v>13.8</v>
      </c>
      <c r="AD28">
        <f t="shared" si="8"/>
        <v>4.8600000000000003</v>
      </c>
      <c r="AE28" s="378">
        <f t="shared" si="9"/>
        <v>183.12</v>
      </c>
      <c r="AF28">
        <f t="shared" si="10"/>
        <v>4.9050000000000002</v>
      </c>
      <c r="AG28">
        <f>33*2.22</f>
        <v>73.260000000000005</v>
      </c>
      <c r="AI28" s="378">
        <f t="shared" si="11"/>
        <v>279.94499999999999</v>
      </c>
    </row>
    <row r="29" spans="1:35" x14ac:dyDescent="0.2">
      <c r="A29" s="17">
        <v>18</v>
      </c>
      <c r="B29" s="176" t="s">
        <v>913</v>
      </c>
      <c r="C29" s="368">
        <v>1734</v>
      </c>
      <c r="D29" s="371">
        <v>2044.615</v>
      </c>
      <c r="E29" s="9">
        <v>882</v>
      </c>
      <c r="F29" s="371">
        <v>609.92999999999995</v>
      </c>
      <c r="G29" s="380">
        <v>56</v>
      </c>
      <c r="H29" s="313">
        <v>0</v>
      </c>
      <c r="I29" s="376">
        <v>852</v>
      </c>
      <c r="J29" s="323">
        <v>1434.6849999999999</v>
      </c>
      <c r="K29" s="376">
        <v>808</v>
      </c>
      <c r="M29" s="381"/>
      <c r="N29" s="390">
        <f t="shared" si="0"/>
        <v>2598</v>
      </c>
      <c r="O29" s="390">
        <f t="shared" si="1"/>
        <v>1790</v>
      </c>
      <c r="P29" s="392">
        <f t="shared" si="2"/>
        <v>2044.6149999999998</v>
      </c>
      <c r="Q29" s="392">
        <f t="shared" si="3"/>
        <v>0</v>
      </c>
      <c r="R29" s="392">
        <f t="shared" si="4"/>
        <v>1434.6849999999999</v>
      </c>
      <c r="S29" s="381"/>
      <c r="T29" s="388">
        <v>882</v>
      </c>
      <c r="U29" s="381">
        <f t="shared" si="5"/>
        <v>0</v>
      </c>
      <c r="V29" s="381"/>
      <c r="W29">
        <v>746</v>
      </c>
      <c r="X29" s="382">
        <v>106</v>
      </c>
      <c r="Y29">
        <f t="shared" si="6"/>
        <v>852</v>
      </c>
      <c r="AA29">
        <f t="shared" si="7"/>
        <v>852</v>
      </c>
      <c r="AB29" s="378">
        <v>1266.5550000000001</v>
      </c>
      <c r="AC29" s="377">
        <v>13.8</v>
      </c>
      <c r="AD29">
        <f t="shared" si="8"/>
        <v>4.8600000000000003</v>
      </c>
      <c r="AE29" s="378">
        <f t="shared" si="9"/>
        <v>183.12</v>
      </c>
      <c r="AF29">
        <f t="shared" si="10"/>
        <v>4.9050000000000002</v>
      </c>
      <c r="AI29" s="378">
        <f t="shared" si="11"/>
        <v>1473.24</v>
      </c>
    </row>
    <row r="30" spans="1:35" x14ac:dyDescent="0.2">
      <c r="A30" s="17">
        <v>19</v>
      </c>
      <c r="B30" s="176" t="s">
        <v>914</v>
      </c>
      <c r="C30" s="368">
        <v>2370</v>
      </c>
      <c r="D30" s="371">
        <v>2258.3850000000002</v>
      </c>
      <c r="E30" s="9">
        <v>2057</v>
      </c>
      <c r="F30" s="371">
        <v>1981.24</v>
      </c>
      <c r="G30" s="380">
        <v>0</v>
      </c>
      <c r="H30" s="313">
        <f>D30-F30-J30</f>
        <v>34.460000000000207</v>
      </c>
      <c r="I30" s="376">
        <v>165</v>
      </c>
      <c r="J30" s="323">
        <v>242.685</v>
      </c>
      <c r="K30" s="376">
        <v>0</v>
      </c>
      <c r="M30" s="381"/>
      <c r="N30" s="390">
        <f t="shared" si="0"/>
        <v>2222</v>
      </c>
      <c r="O30" s="390">
        <f t="shared" si="1"/>
        <v>2222</v>
      </c>
      <c r="P30" s="392">
        <f t="shared" si="2"/>
        <v>2258.3850000000002</v>
      </c>
      <c r="Q30" s="392">
        <f t="shared" si="3"/>
        <v>0</v>
      </c>
      <c r="R30" s="392">
        <f t="shared" si="4"/>
        <v>242.685</v>
      </c>
      <c r="S30" s="381"/>
      <c r="T30" s="388">
        <v>2057</v>
      </c>
      <c r="U30" s="381">
        <f t="shared" si="5"/>
        <v>0</v>
      </c>
      <c r="V30" s="381"/>
      <c r="W30">
        <v>60</v>
      </c>
      <c r="X30" s="382">
        <v>105</v>
      </c>
      <c r="Y30">
        <f t="shared" si="6"/>
        <v>165</v>
      </c>
      <c r="AA30">
        <f t="shared" si="7"/>
        <v>165</v>
      </c>
      <c r="AB30" s="378">
        <v>36</v>
      </c>
      <c r="AC30" s="377">
        <v>13.8</v>
      </c>
      <c r="AD30">
        <f t="shared" si="8"/>
        <v>4.8600000000000003</v>
      </c>
      <c r="AE30" s="378">
        <f t="shared" si="9"/>
        <v>183.12</v>
      </c>
      <c r="AF30">
        <f t="shared" si="10"/>
        <v>4.9050000000000002</v>
      </c>
      <c r="AI30" s="378">
        <f t="shared" si="11"/>
        <v>242.685</v>
      </c>
    </row>
    <row r="31" spans="1:35" x14ac:dyDescent="0.2">
      <c r="A31" s="17">
        <v>20</v>
      </c>
      <c r="B31" s="176" t="s">
        <v>915</v>
      </c>
      <c r="C31" s="368">
        <v>1187</v>
      </c>
      <c r="D31" s="371">
        <v>1405.56</v>
      </c>
      <c r="E31" s="9">
        <v>902</v>
      </c>
      <c r="F31" s="371">
        <v>995.19</v>
      </c>
      <c r="G31" s="380">
        <v>0</v>
      </c>
      <c r="H31" s="313">
        <v>0</v>
      </c>
      <c r="I31" s="376">
        <v>285</v>
      </c>
      <c r="J31" s="323">
        <v>410.36999999999995</v>
      </c>
      <c r="K31" s="376">
        <v>0</v>
      </c>
      <c r="M31" s="381"/>
      <c r="N31" s="390">
        <f t="shared" si="0"/>
        <v>1187</v>
      </c>
      <c r="O31" s="390">
        <f t="shared" si="1"/>
        <v>1187</v>
      </c>
      <c r="P31" s="392">
        <f t="shared" si="2"/>
        <v>1405.56</v>
      </c>
      <c r="Q31" s="392">
        <f t="shared" si="3"/>
        <v>0</v>
      </c>
      <c r="R31" s="392">
        <f t="shared" si="4"/>
        <v>410.36999999999995</v>
      </c>
      <c r="S31" s="381"/>
      <c r="T31" s="388">
        <v>897</v>
      </c>
      <c r="U31" s="381">
        <f t="shared" si="5"/>
        <v>5</v>
      </c>
      <c r="V31" s="381"/>
      <c r="W31">
        <v>180</v>
      </c>
      <c r="X31" s="382">
        <v>105</v>
      </c>
      <c r="Y31">
        <f t="shared" si="6"/>
        <v>285</v>
      </c>
      <c r="AA31">
        <f t="shared" si="7"/>
        <v>285</v>
      </c>
      <c r="AB31" s="378">
        <v>268</v>
      </c>
      <c r="AC31" s="377">
        <v>13.8</v>
      </c>
      <c r="AD31">
        <f t="shared" si="8"/>
        <v>4.8600000000000003</v>
      </c>
      <c r="AE31" s="378">
        <f t="shared" si="9"/>
        <v>183.12</v>
      </c>
      <c r="AF31">
        <f t="shared" si="10"/>
        <v>4.9050000000000002</v>
      </c>
      <c r="AH31" s="386">
        <v>2</v>
      </c>
      <c r="AI31" s="378">
        <f t="shared" si="11"/>
        <v>476.685</v>
      </c>
    </row>
    <row r="32" spans="1:35" x14ac:dyDescent="0.2">
      <c r="A32" s="17">
        <v>21</v>
      </c>
      <c r="B32" s="176" t="s">
        <v>916</v>
      </c>
      <c r="C32" s="368">
        <v>1363</v>
      </c>
      <c r="D32" s="371">
        <v>1505.1</v>
      </c>
      <c r="E32" s="9">
        <v>1110</v>
      </c>
      <c r="F32" s="371">
        <v>950.36</v>
      </c>
      <c r="G32" s="380">
        <f>C32-E32-I32</f>
        <v>123</v>
      </c>
      <c r="H32" s="313">
        <f>D32-F32-J32</f>
        <v>333.05499999999989</v>
      </c>
      <c r="I32" s="376">
        <v>130</v>
      </c>
      <c r="J32" s="323">
        <v>221.685</v>
      </c>
      <c r="K32" s="376">
        <v>0</v>
      </c>
      <c r="M32" s="381"/>
      <c r="N32" s="390">
        <f t="shared" si="0"/>
        <v>1363</v>
      </c>
      <c r="O32" s="390">
        <f t="shared" si="1"/>
        <v>1363</v>
      </c>
      <c r="P32" s="392">
        <f t="shared" si="2"/>
        <v>1505.1</v>
      </c>
      <c r="Q32" s="392">
        <f t="shared" si="3"/>
        <v>0</v>
      </c>
      <c r="R32" s="392">
        <f t="shared" si="4"/>
        <v>221.685</v>
      </c>
      <c r="S32" s="381"/>
      <c r="T32" s="388">
        <v>861</v>
      </c>
      <c r="U32" s="381">
        <f t="shared" si="5"/>
        <v>249</v>
      </c>
      <c r="V32" s="381"/>
      <c r="W32">
        <v>25</v>
      </c>
      <c r="X32" s="382">
        <v>105</v>
      </c>
      <c r="Y32">
        <f t="shared" si="6"/>
        <v>130</v>
      </c>
      <c r="AA32">
        <f t="shared" si="7"/>
        <v>130</v>
      </c>
      <c r="AB32" s="378">
        <v>15</v>
      </c>
      <c r="AC32" s="377">
        <v>13.8</v>
      </c>
      <c r="AD32">
        <f t="shared" si="8"/>
        <v>4.8600000000000003</v>
      </c>
      <c r="AE32" s="378">
        <f t="shared" si="9"/>
        <v>183.12</v>
      </c>
      <c r="AF32">
        <f t="shared" si="10"/>
        <v>4.9050000000000002</v>
      </c>
      <c r="AI32" s="378">
        <f t="shared" si="11"/>
        <v>221.685</v>
      </c>
    </row>
    <row r="33" spans="1:35" x14ac:dyDescent="0.2">
      <c r="A33" s="17">
        <v>22</v>
      </c>
      <c r="B33" s="176" t="s">
        <v>917</v>
      </c>
      <c r="C33" s="368">
        <v>996</v>
      </c>
      <c r="D33" s="371">
        <v>1073.278</v>
      </c>
      <c r="E33" s="9">
        <v>891</v>
      </c>
      <c r="F33" s="371">
        <v>906.78</v>
      </c>
      <c r="G33" s="380">
        <v>0</v>
      </c>
      <c r="H33" s="313">
        <v>0</v>
      </c>
      <c r="I33" s="376">
        <v>148</v>
      </c>
      <c r="J33" s="323">
        <v>166.49800000000008</v>
      </c>
      <c r="K33" s="376">
        <v>0</v>
      </c>
      <c r="M33" s="381"/>
      <c r="N33" s="390">
        <f t="shared" si="0"/>
        <v>1039</v>
      </c>
      <c r="O33" s="390">
        <f t="shared" si="1"/>
        <v>1039</v>
      </c>
      <c r="P33" s="392">
        <f t="shared" si="2"/>
        <v>1073.278</v>
      </c>
      <c r="Q33" s="392">
        <f t="shared" si="3"/>
        <v>0</v>
      </c>
      <c r="R33" s="392">
        <f t="shared" si="4"/>
        <v>166.49800000000008</v>
      </c>
      <c r="S33" s="381"/>
      <c r="T33" s="388">
        <v>847</v>
      </c>
      <c r="U33" s="381">
        <f t="shared" si="5"/>
        <v>44</v>
      </c>
      <c r="V33" s="381"/>
      <c r="W33">
        <v>43</v>
      </c>
      <c r="X33" s="382">
        <v>105</v>
      </c>
      <c r="Y33">
        <f t="shared" si="6"/>
        <v>148</v>
      </c>
      <c r="AA33">
        <f t="shared" si="7"/>
        <v>148</v>
      </c>
      <c r="AB33" s="378">
        <v>33.921999999999997</v>
      </c>
      <c r="AC33" s="377">
        <v>13.8</v>
      </c>
      <c r="AD33">
        <f t="shared" si="8"/>
        <v>4.8600000000000003</v>
      </c>
      <c r="AE33" s="378">
        <f t="shared" si="9"/>
        <v>183.12</v>
      </c>
      <c r="AF33">
        <f t="shared" si="10"/>
        <v>4.9050000000000002</v>
      </c>
      <c r="AI33" s="378">
        <f t="shared" si="11"/>
        <v>240.607</v>
      </c>
    </row>
    <row r="34" spans="1:35" x14ac:dyDescent="0.2">
      <c r="A34" s="17">
        <v>23</v>
      </c>
      <c r="B34" s="176" t="s">
        <v>918</v>
      </c>
      <c r="C34" s="368">
        <v>1722</v>
      </c>
      <c r="D34" s="371">
        <v>1730.97</v>
      </c>
      <c r="E34" s="9">
        <v>1195</v>
      </c>
      <c r="F34" s="371">
        <v>1191.9100000000001</v>
      </c>
      <c r="G34" s="380">
        <v>130</v>
      </c>
      <c r="H34" s="313">
        <f>D34-F34-J34</f>
        <v>219.77699999999993</v>
      </c>
      <c r="I34" s="376">
        <v>345</v>
      </c>
      <c r="J34" s="323">
        <v>319.28300000000002</v>
      </c>
      <c r="K34" s="376">
        <v>0</v>
      </c>
      <c r="M34" s="381"/>
      <c r="N34" s="390">
        <f t="shared" si="0"/>
        <v>1670</v>
      </c>
      <c r="O34" s="390">
        <f t="shared" si="1"/>
        <v>1670</v>
      </c>
      <c r="P34" s="392">
        <f t="shared" si="2"/>
        <v>1730.9699999999998</v>
      </c>
      <c r="Q34" s="392">
        <f t="shared" si="3"/>
        <v>0</v>
      </c>
      <c r="R34" s="392">
        <f t="shared" si="4"/>
        <v>319.28300000000002</v>
      </c>
      <c r="S34" s="381"/>
      <c r="T34" s="388">
        <v>1173</v>
      </c>
      <c r="U34" s="381">
        <f t="shared" si="5"/>
        <v>22</v>
      </c>
      <c r="V34" s="381"/>
      <c r="W34">
        <v>18</v>
      </c>
      <c r="X34" s="382">
        <v>216</v>
      </c>
      <c r="Y34">
        <f t="shared" si="6"/>
        <v>234</v>
      </c>
      <c r="Z34">
        <v>111</v>
      </c>
      <c r="AA34">
        <f t="shared" si="7"/>
        <v>345</v>
      </c>
      <c r="AB34" s="378">
        <v>45.997999999999998</v>
      </c>
      <c r="AC34" s="377">
        <v>13.8</v>
      </c>
      <c r="AD34">
        <f t="shared" si="8"/>
        <v>4.8600000000000003</v>
      </c>
      <c r="AE34" s="378">
        <f t="shared" si="9"/>
        <v>183.12</v>
      </c>
      <c r="AF34">
        <f t="shared" si="10"/>
        <v>4.9050000000000002</v>
      </c>
      <c r="AH34">
        <v>66.599999999999994</v>
      </c>
      <c r="AI34" s="378">
        <f t="shared" si="11"/>
        <v>319.28300000000002</v>
      </c>
    </row>
    <row r="35" spans="1:35" x14ac:dyDescent="0.2">
      <c r="A35" s="17">
        <v>24</v>
      </c>
      <c r="B35" s="18" t="s">
        <v>919</v>
      </c>
      <c r="C35" s="368">
        <v>2007</v>
      </c>
      <c r="D35" s="371">
        <v>2178.645</v>
      </c>
      <c r="E35" s="9">
        <v>1736</v>
      </c>
      <c r="F35" s="371">
        <v>1789.71</v>
      </c>
      <c r="G35" s="380">
        <f>1137-897</f>
        <v>240</v>
      </c>
      <c r="H35" s="313">
        <f>D35-F35-J35</f>
        <v>139.04999999999993</v>
      </c>
      <c r="I35" s="376">
        <v>177</v>
      </c>
      <c r="J35" s="323">
        <v>249.88500000000002</v>
      </c>
      <c r="K35" s="376">
        <v>0</v>
      </c>
      <c r="M35" s="381"/>
      <c r="N35" s="390">
        <f t="shared" si="0"/>
        <v>2153</v>
      </c>
      <c r="O35" s="390">
        <f t="shared" si="1"/>
        <v>2153</v>
      </c>
      <c r="P35" s="392">
        <f t="shared" si="2"/>
        <v>2178.645</v>
      </c>
      <c r="Q35" s="392">
        <f t="shared" si="3"/>
        <v>0</v>
      </c>
      <c r="R35" s="392">
        <f t="shared" si="4"/>
        <v>249.88500000000002</v>
      </c>
      <c r="S35" s="381"/>
      <c r="T35" s="388">
        <v>1736</v>
      </c>
      <c r="U35" s="381">
        <f t="shared" si="5"/>
        <v>0</v>
      </c>
      <c r="V35" s="381"/>
      <c r="W35">
        <v>72</v>
      </c>
      <c r="X35" s="382">
        <v>105</v>
      </c>
      <c r="Y35">
        <f t="shared" si="6"/>
        <v>177</v>
      </c>
      <c r="AA35">
        <f t="shared" si="7"/>
        <v>177</v>
      </c>
      <c r="AB35" s="378">
        <v>43.2</v>
      </c>
      <c r="AC35" s="377">
        <v>13.8</v>
      </c>
      <c r="AD35">
        <f t="shared" si="8"/>
        <v>4.8600000000000003</v>
      </c>
      <c r="AE35" s="378">
        <f t="shared" si="9"/>
        <v>183.12</v>
      </c>
      <c r="AF35">
        <f t="shared" si="10"/>
        <v>4.9050000000000002</v>
      </c>
      <c r="AI35" s="378">
        <f t="shared" si="11"/>
        <v>249.88500000000002</v>
      </c>
    </row>
    <row r="36" spans="1:35" s="14" customFormat="1" x14ac:dyDescent="0.2">
      <c r="A36" s="802" t="s">
        <v>18</v>
      </c>
      <c r="B36" s="802"/>
      <c r="C36" s="310">
        <f t="shared" ref="C36:K36" si="12">SUM(C12:C35)</f>
        <v>39001</v>
      </c>
      <c r="D36" s="315">
        <f t="shared" si="12"/>
        <v>40845.488999999994</v>
      </c>
      <c r="E36" s="27">
        <f t="shared" si="12"/>
        <v>31386</v>
      </c>
      <c r="F36" s="315">
        <f t="shared" si="12"/>
        <v>30070.05</v>
      </c>
      <c r="G36" s="310">
        <f t="shared" si="12"/>
        <v>1137</v>
      </c>
      <c r="H36" s="315">
        <f t="shared" si="12"/>
        <v>1782.6219999999996</v>
      </c>
      <c r="I36" s="27">
        <f t="shared" si="12"/>
        <v>6478</v>
      </c>
      <c r="J36" s="315">
        <f t="shared" si="12"/>
        <v>8992.8169999999973</v>
      </c>
      <c r="K36" s="27">
        <f t="shared" si="12"/>
        <v>2143</v>
      </c>
      <c r="M36" s="28"/>
      <c r="N36" s="391">
        <f>SUM(N12:N35)</f>
        <v>41144</v>
      </c>
      <c r="O36" s="391">
        <f>SUM(O12:O35)</f>
        <v>39001</v>
      </c>
      <c r="P36" s="393">
        <f>SUM(P12:P35)</f>
        <v>40845.488999999994</v>
      </c>
      <c r="Q36" s="393">
        <f>SUM(Q12:Q35)</f>
        <v>0</v>
      </c>
      <c r="R36" s="28"/>
      <c r="S36" s="28"/>
      <c r="U36" s="14">
        <f>SUM(U12:U35)</f>
        <v>1730</v>
      </c>
      <c r="W36" s="14">
        <f>SUM(W12:W35)</f>
        <v>2665</v>
      </c>
      <c r="X36" s="14">
        <f>SUM(X12:X35)</f>
        <v>3500</v>
      </c>
      <c r="Y36" s="14">
        <f>SUM(W36:X36)</f>
        <v>6165</v>
      </c>
      <c r="Z36" s="14">
        <f>SUM(Z21:Z35)</f>
        <v>313</v>
      </c>
      <c r="AA36" s="14">
        <f t="shared" ref="AA36:AI36" si="13">SUM(AA12:AA35)</f>
        <v>6478</v>
      </c>
      <c r="AB36" s="383">
        <f t="shared" si="13"/>
        <v>3654.4750000000004</v>
      </c>
      <c r="AC36" s="384">
        <f t="shared" si="13"/>
        <v>330.00000000000011</v>
      </c>
      <c r="AD36" s="14">
        <f t="shared" si="13"/>
        <v>128.79000000000002</v>
      </c>
      <c r="AE36" s="383">
        <f t="shared" si="13"/>
        <v>4412.8649999999989</v>
      </c>
      <c r="AF36" s="14">
        <f t="shared" si="13"/>
        <v>127.53000000000002</v>
      </c>
      <c r="AG36" s="14">
        <f t="shared" si="13"/>
        <v>148.74</v>
      </c>
      <c r="AH36" s="14">
        <f t="shared" si="13"/>
        <v>190.41499999999999</v>
      </c>
      <c r="AI36" s="383">
        <f t="shared" si="13"/>
        <v>8992.8150000000005</v>
      </c>
    </row>
    <row r="37" spans="1:35" x14ac:dyDescent="0.2">
      <c r="A37" s="267"/>
      <c r="B37" s="20"/>
      <c r="C37" s="12"/>
      <c r="D37" s="12"/>
      <c r="E37" s="12"/>
      <c r="F37" s="12"/>
      <c r="G37" s="12"/>
      <c r="H37" s="12"/>
      <c r="I37" s="12"/>
      <c r="J37" s="12"/>
      <c r="K37" s="12"/>
      <c r="Y37">
        <v>6478</v>
      </c>
      <c r="AA37">
        <v>6478</v>
      </c>
      <c r="AI37">
        <v>8992.82</v>
      </c>
    </row>
    <row r="38" spans="1:35" s="15" customFormat="1" x14ac:dyDescent="0.2">
      <c r="A38" s="14"/>
      <c r="B38" s="14"/>
      <c r="C38" s="14"/>
      <c r="D38" s="14"/>
      <c r="E38" s="14"/>
      <c r="F38" s="14"/>
      <c r="H38" s="33"/>
      <c r="I38" s="33"/>
      <c r="L38" s="20"/>
      <c r="M38" s="20"/>
      <c r="N38" s="20"/>
      <c r="O38" s="20"/>
      <c r="P38" s="20"/>
      <c r="Q38" s="20"/>
      <c r="R38" s="20"/>
      <c r="S38" s="20"/>
      <c r="U38" s="15">
        <f>U36+Y36</f>
        <v>7895</v>
      </c>
      <c r="Y38" s="15">
        <f>Y37-Y36</f>
        <v>313</v>
      </c>
      <c r="AA38" s="15">
        <f>AA37-AA36</f>
        <v>0</v>
      </c>
      <c r="AE38" s="379">
        <f>AB36+AH36</f>
        <v>3844.8900000000003</v>
      </c>
      <c r="AI38" s="379">
        <f>AI37-AI36</f>
        <v>4.9999999991996447E-3</v>
      </c>
    </row>
    <row r="39" spans="1:35" s="15" customFormat="1" x14ac:dyDescent="0.2">
      <c r="A39" s="14"/>
      <c r="F39" s="379"/>
      <c r="H39" s="387"/>
      <c r="L39" s="20"/>
      <c r="M39" s="20"/>
      <c r="N39" s="20"/>
      <c r="O39" s="20"/>
      <c r="P39" s="20"/>
      <c r="Q39" s="20"/>
      <c r="R39" s="20"/>
      <c r="S39" s="20"/>
    </row>
    <row r="40" spans="1:35" x14ac:dyDescent="0.2">
      <c r="A40" s="14" t="s">
        <v>22</v>
      </c>
      <c r="B40" s="1029"/>
      <c r="C40" s="1029"/>
      <c r="D40" s="1029"/>
      <c r="E40" s="1029"/>
      <c r="F40" s="1029"/>
      <c r="G40" s="1029"/>
      <c r="H40" s="1029"/>
      <c r="I40" s="630"/>
      <c r="J40" s="630"/>
    </row>
    <row r="41" spans="1:35" x14ac:dyDescent="0.2">
      <c r="A41" s="633"/>
      <c r="B41" s="1029"/>
      <c r="C41" s="1029"/>
      <c r="D41" s="1029"/>
      <c r="E41" s="1029"/>
      <c r="F41" s="1029"/>
      <c r="G41" s="1029"/>
      <c r="H41" s="1029"/>
      <c r="I41" s="821" t="s">
        <v>12</v>
      </c>
      <c r="J41" s="821"/>
    </row>
    <row r="42" spans="1:35" x14ac:dyDescent="0.2">
      <c r="A42" s="803" t="s">
        <v>13</v>
      </c>
      <c r="B42" s="803"/>
      <c r="C42" s="803"/>
      <c r="D42" s="803"/>
      <c r="E42" s="803"/>
      <c r="F42" s="803"/>
      <c r="G42" s="803"/>
      <c r="H42" s="803"/>
      <c r="I42" s="803"/>
      <c r="J42" s="803"/>
    </row>
    <row r="43" spans="1:35" x14ac:dyDescent="0.2">
      <c r="A43" s="803" t="s">
        <v>19</v>
      </c>
      <c r="B43" s="803"/>
      <c r="C43" s="803"/>
      <c r="D43" s="803"/>
      <c r="E43" s="803"/>
      <c r="F43" s="803"/>
      <c r="G43" s="803"/>
      <c r="H43" s="803"/>
      <c r="I43" s="803"/>
      <c r="J43" s="803"/>
    </row>
    <row r="44" spans="1:35" x14ac:dyDescent="0.2">
      <c r="B44" s="14"/>
      <c r="C44" s="14"/>
      <c r="D44" s="14"/>
      <c r="E44" s="14"/>
      <c r="F44" s="14"/>
      <c r="G44" s="633"/>
      <c r="H44" s="853" t="s">
        <v>23</v>
      </c>
      <c r="I44" s="853"/>
      <c r="J44" s="633"/>
    </row>
    <row r="45" spans="1:35" x14ac:dyDescent="0.2">
      <c r="A45" s="14"/>
      <c r="B45" s="633"/>
      <c r="C45" s="633"/>
      <c r="D45" s="633"/>
      <c r="E45" s="633"/>
      <c r="F45" s="633"/>
      <c r="G45" s="633"/>
      <c r="H45" s="633"/>
      <c r="I45" s="633"/>
      <c r="J45" s="633"/>
    </row>
  </sheetData>
  <mergeCells count="22">
    <mergeCell ref="K9:K10"/>
    <mergeCell ref="C8:J8"/>
    <mergeCell ref="E7:H7"/>
    <mergeCell ref="A3:J3"/>
    <mergeCell ref="I7:K7"/>
    <mergeCell ref="A7:B7"/>
    <mergeCell ref="A5:K5"/>
    <mergeCell ref="B9:B10"/>
    <mergeCell ref="A9:A10"/>
    <mergeCell ref="I1:J1"/>
    <mergeCell ref="G9:H9"/>
    <mergeCell ref="I9:J9"/>
    <mergeCell ref="D1:E1"/>
    <mergeCell ref="A36:B36"/>
    <mergeCell ref="A42:J42"/>
    <mergeCell ref="A43:J43"/>
    <mergeCell ref="H44:I44"/>
    <mergeCell ref="A2:J2"/>
    <mergeCell ref="E9:F9"/>
    <mergeCell ref="C9:D9"/>
    <mergeCell ref="B40:H41"/>
    <mergeCell ref="I41:J41"/>
  </mergeCells>
  <phoneticPr fontId="0" type="noConversion"/>
  <printOptions horizontalCentered="1"/>
  <pageMargins left="0.70866141732283472" right="0.27" top="0.23622047244094491" bottom="0" header="0.31496062992125984" footer="0.31496062992125984"/>
  <pageSetup paperSize="9" scale="8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45"/>
  <sheetViews>
    <sheetView topLeftCell="A13" zoomScaleNormal="100" zoomScaleSheetLayoutView="90" workbookViewId="0">
      <selection activeCell="C36" sqref="C36"/>
    </sheetView>
  </sheetViews>
  <sheetFormatPr defaultRowHeight="12.75" x14ac:dyDescent="0.2"/>
  <cols>
    <col min="2" max="2" width="19" customWidth="1"/>
    <col min="3" max="3" width="15.140625" customWidth="1"/>
    <col min="4" max="4" width="12.85546875" customWidth="1"/>
    <col min="5" max="5" width="13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7" customWidth="1"/>
  </cols>
  <sheetData>
    <row r="1" spans="1:19" ht="22.9" customHeight="1" x14ac:dyDescent="0.2">
      <c r="D1" s="853"/>
      <c r="E1" s="853"/>
      <c r="H1" s="40"/>
      <c r="J1" s="928" t="s">
        <v>69</v>
      </c>
      <c r="K1" s="928"/>
    </row>
    <row r="2" spans="1:19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9" ht="18" x14ac:dyDescent="0.25">
      <c r="A3" s="942" t="s">
        <v>740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9" ht="10.5" customHeight="1" x14ac:dyDescent="0.2"/>
    <row r="5" spans="1:19" s="15" customFormat="1" ht="15.75" customHeight="1" x14ac:dyDescent="0.2">
      <c r="A5" s="1032" t="s">
        <v>433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20" t="s">
        <v>920</v>
      </c>
      <c r="B7" s="820"/>
      <c r="I7" s="980" t="s">
        <v>831</v>
      </c>
      <c r="J7" s="980"/>
      <c r="K7" s="980"/>
    </row>
    <row r="8" spans="1:19" s="13" customFormat="1" ht="15.75" hidden="1" x14ac:dyDescent="0.25">
      <c r="C8" s="930" t="s">
        <v>15</v>
      </c>
      <c r="D8" s="930"/>
      <c r="E8" s="930"/>
      <c r="F8" s="930"/>
      <c r="G8" s="930"/>
      <c r="H8" s="930"/>
      <c r="I8" s="930"/>
      <c r="J8" s="930"/>
    </row>
    <row r="9" spans="1:19" ht="30" customHeight="1" x14ac:dyDescent="0.2">
      <c r="A9" s="834" t="s">
        <v>25</v>
      </c>
      <c r="B9" s="834" t="s">
        <v>38</v>
      </c>
      <c r="C9" s="834" t="s">
        <v>862</v>
      </c>
      <c r="D9" s="834"/>
      <c r="E9" s="834" t="s">
        <v>471</v>
      </c>
      <c r="F9" s="834"/>
      <c r="G9" s="834" t="s">
        <v>40</v>
      </c>
      <c r="H9" s="834"/>
      <c r="I9" s="834" t="s">
        <v>107</v>
      </c>
      <c r="J9" s="834"/>
      <c r="K9" s="834" t="s">
        <v>508</v>
      </c>
      <c r="R9" s="9"/>
      <c r="S9" s="12"/>
    </row>
    <row r="10" spans="1:19" s="14" customFormat="1" ht="46.5" customHeight="1" x14ac:dyDescent="0.2">
      <c r="A10" s="834"/>
      <c r="B10" s="834"/>
      <c r="C10" s="5" t="s">
        <v>41</v>
      </c>
      <c r="D10" s="5" t="s">
        <v>106</v>
      </c>
      <c r="E10" s="5" t="s">
        <v>41</v>
      </c>
      <c r="F10" s="5" t="s">
        <v>106</v>
      </c>
      <c r="G10" s="5" t="s">
        <v>41</v>
      </c>
      <c r="H10" s="5" t="s">
        <v>106</v>
      </c>
      <c r="I10" s="5" t="s">
        <v>131</v>
      </c>
      <c r="J10" s="5" t="s">
        <v>132</v>
      </c>
      <c r="K10" s="834"/>
    </row>
    <row r="11" spans="1:19" x14ac:dyDescent="0.2">
      <c r="A11" s="129">
        <v>1</v>
      </c>
      <c r="B11" s="129">
        <v>2</v>
      </c>
      <c r="C11" s="129">
        <v>3</v>
      </c>
      <c r="D11" s="129">
        <v>4</v>
      </c>
      <c r="E11" s="129">
        <v>5</v>
      </c>
      <c r="F11" s="129">
        <v>6</v>
      </c>
      <c r="G11" s="129">
        <v>7</v>
      </c>
      <c r="H11" s="129">
        <v>8</v>
      </c>
      <c r="I11" s="129">
        <v>9</v>
      </c>
      <c r="J11" s="129">
        <v>10</v>
      </c>
      <c r="K11" s="129">
        <v>11</v>
      </c>
    </row>
    <row r="12" spans="1:19" x14ac:dyDescent="0.2">
      <c r="A12" s="17">
        <v>1</v>
      </c>
      <c r="B12" s="176" t="s">
        <v>896</v>
      </c>
      <c r="C12" s="399">
        <v>2532</v>
      </c>
      <c r="D12" s="400">
        <f>C12*5000/100000</f>
        <v>126.6</v>
      </c>
      <c r="E12" s="399">
        <v>2532</v>
      </c>
      <c r="F12" s="400">
        <f>E12*5000/100000</f>
        <v>126.6</v>
      </c>
      <c r="G12" s="399">
        <v>0</v>
      </c>
      <c r="H12" s="400">
        <v>0</v>
      </c>
      <c r="I12" s="399">
        <v>0</v>
      </c>
      <c r="J12" s="400">
        <v>0</v>
      </c>
      <c r="K12" s="401">
        <v>0</v>
      </c>
    </row>
    <row r="13" spans="1:19" x14ac:dyDescent="0.2">
      <c r="A13" s="17">
        <v>2</v>
      </c>
      <c r="B13" s="176" t="s">
        <v>897</v>
      </c>
      <c r="C13" s="399">
        <v>413</v>
      </c>
      <c r="D13" s="400">
        <f t="shared" ref="D13:D35" si="0">C13*5000/100000</f>
        <v>20.65</v>
      </c>
      <c r="E13" s="399">
        <v>413</v>
      </c>
      <c r="F13" s="400">
        <f t="shared" ref="F13:F35" si="1">E13*5000/100000</f>
        <v>20.65</v>
      </c>
      <c r="G13" s="399">
        <v>0</v>
      </c>
      <c r="H13" s="400">
        <v>0</v>
      </c>
      <c r="I13" s="399">
        <v>0</v>
      </c>
      <c r="J13" s="400">
        <v>0</v>
      </c>
      <c r="K13" s="401">
        <v>0</v>
      </c>
    </row>
    <row r="14" spans="1:19" x14ac:dyDescent="0.2">
      <c r="A14" s="17">
        <v>3</v>
      </c>
      <c r="B14" s="176" t="s">
        <v>898</v>
      </c>
      <c r="C14" s="399">
        <v>748</v>
      </c>
      <c r="D14" s="400">
        <f t="shared" si="0"/>
        <v>37.4</v>
      </c>
      <c r="E14" s="399">
        <v>748</v>
      </c>
      <c r="F14" s="400">
        <f t="shared" si="1"/>
        <v>37.4</v>
      </c>
      <c r="G14" s="399">
        <v>0</v>
      </c>
      <c r="H14" s="400">
        <v>0</v>
      </c>
      <c r="I14" s="399">
        <v>0</v>
      </c>
      <c r="J14" s="400">
        <v>0</v>
      </c>
      <c r="K14" s="401">
        <v>0</v>
      </c>
    </row>
    <row r="15" spans="1:19" x14ac:dyDescent="0.2">
      <c r="A15" s="17">
        <v>4</v>
      </c>
      <c r="B15" s="176" t="s">
        <v>899</v>
      </c>
      <c r="C15" s="399">
        <v>1073</v>
      </c>
      <c r="D15" s="400">
        <f t="shared" si="0"/>
        <v>53.65</v>
      </c>
      <c r="E15" s="399">
        <v>1073</v>
      </c>
      <c r="F15" s="400">
        <f t="shared" si="1"/>
        <v>53.65</v>
      </c>
      <c r="G15" s="399">
        <v>0</v>
      </c>
      <c r="H15" s="400">
        <v>0</v>
      </c>
      <c r="I15" s="399">
        <v>0</v>
      </c>
      <c r="J15" s="400">
        <v>0</v>
      </c>
      <c r="K15" s="401">
        <v>0</v>
      </c>
    </row>
    <row r="16" spans="1:19" x14ac:dyDescent="0.2">
      <c r="A16" s="17">
        <v>5</v>
      </c>
      <c r="B16" s="176" t="s">
        <v>900</v>
      </c>
      <c r="C16" s="399">
        <v>1111</v>
      </c>
      <c r="D16" s="400">
        <f t="shared" si="0"/>
        <v>55.55</v>
      </c>
      <c r="E16" s="399">
        <v>1111</v>
      </c>
      <c r="F16" s="400">
        <f t="shared" si="1"/>
        <v>55.55</v>
      </c>
      <c r="G16" s="399">
        <v>0</v>
      </c>
      <c r="H16" s="400">
        <v>0</v>
      </c>
      <c r="I16" s="399">
        <v>0</v>
      </c>
      <c r="J16" s="400">
        <v>0</v>
      </c>
      <c r="K16" s="401">
        <v>0</v>
      </c>
    </row>
    <row r="17" spans="1:11" x14ac:dyDescent="0.2">
      <c r="A17" s="17">
        <v>6</v>
      </c>
      <c r="B17" s="176" t="s">
        <v>901</v>
      </c>
      <c r="C17" s="399">
        <v>1288</v>
      </c>
      <c r="D17" s="400">
        <f t="shared" si="0"/>
        <v>64.400000000000006</v>
      </c>
      <c r="E17" s="399">
        <v>1288</v>
      </c>
      <c r="F17" s="400">
        <f t="shared" si="1"/>
        <v>64.400000000000006</v>
      </c>
      <c r="G17" s="399">
        <v>0</v>
      </c>
      <c r="H17" s="400">
        <v>0</v>
      </c>
      <c r="I17" s="399">
        <v>0</v>
      </c>
      <c r="J17" s="400">
        <v>0</v>
      </c>
      <c r="K17" s="401">
        <v>0</v>
      </c>
    </row>
    <row r="18" spans="1:11" x14ac:dyDescent="0.2">
      <c r="A18" s="17">
        <v>7</v>
      </c>
      <c r="B18" s="176" t="s">
        <v>902</v>
      </c>
      <c r="C18" s="399">
        <v>1194</v>
      </c>
      <c r="D18" s="400">
        <f t="shared" si="0"/>
        <v>59.7</v>
      </c>
      <c r="E18" s="399">
        <v>1194</v>
      </c>
      <c r="F18" s="400">
        <f t="shared" si="1"/>
        <v>59.7</v>
      </c>
      <c r="G18" s="399">
        <v>0</v>
      </c>
      <c r="H18" s="400">
        <v>0</v>
      </c>
      <c r="I18" s="399">
        <v>0</v>
      </c>
      <c r="J18" s="400">
        <v>0</v>
      </c>
      <c r="K18" s="401">
        <v>0</v>
      </c>
    </row>
    <row r="19" spans="1:11" x14ac:dyDescent="0.2">
      <c r="A19" s="17">
        <v>8</v>
      </c>
      <c r="B19" s="176" t="s">
        <v>903</v>
      </c>
      <c r="C19" s="399">
        <v>2581</v>
      </c>
      <c r="D19" s="400">
        <f t="shared" si="0"/>
        <v>129.05000000000001</v>
      </c>
      <c r="E19" s="399">
        <v>2581</v>
      </c>
      <c r="F19" s="400">
        <f t="shared" si="1"/>
        <v>129.05000000000001</v>
      </c>
      <c r="G19" s="399">
        <v>0</v>
      </c>
      <c r="H19" s="400">
        <v>0</v>
      </c>
      <c r="I19" s="399">
        <v>0</v>
      </c>
      <c r="J19" s="400">
        <v>0</v>
      </c>
      <c r="K19" s="401">
        <v>0</v>
      </c>
    </row>
    <row r="20" spans="1:11" x14ac:dyDescent="0.2">
      <c r="A20" s="17">
        <v>9</v>
      </c>
      <c r="B20" s="176" t="s">
        <v>904</v>
      </c>
      <c r="C20" s="399">
        <v>2304</v>
      </c>
      <c r="D20" s="400">
        <f t="shared" si="0"/>
        <v>115.2</v>
      </c>
      <c r="E20" s="399">
        <v>2304</v>
      </c>
      <c r="F20" s="400">
        <f t="shared" si="1"/>
        <v>115.2</v>
      </c>
      <c r="G20" s="399">
        <v>0</v>
      </c>
      <c r="H20" s="400">
        <v>0</v>
      </c>
      <c r="I20" s="399">
        <v>0</v>
      </c>
      <c r="J20" s="400">
        <v>0</v>
      </c>
      <c r="K20" s="401">
        <v>0</v>
      </c>
    </row>
    <row r="21" spans="1:11" x14ac:dyDescent="0.2">
      <c r="A21" s="17">
        <v>10</v>
      </c>
      <c r="B21" s="176" t="s">
        <v>905</v>
      </c>
      <c r="C21" s="399">
        <v>1320</v>
      </c>
      <c r="D21" s="400">
        <f t="shared" si="0"/>
        <v>66</v>
      </c>
      <c r="E21" s="399">
        <v>1320</v>
      </c>
      <c r="F21" s="400">
        <f t="shared" si="1"/>
        <v>66</v>
      </c>
      <c r="G21" s="399">
        <v>0</v>
      </c>
      <c r="H21" s="400">
        <v>0</v>
      </c>
      <c r="I21" s="399">
        <v>0</v>
      </c>
      <c r="J21" s="400">
        <v>0</v>
      </c>
      <c r="K21" s="401">
        <v>0</v>
      </c>
    </row>
    <row r="22" spans="1:11" x14ac:dyDescent="0.2">
      <c r="A22" s="17">
        <v>11</v>
      </c>
      <c r="B22" s="176" t="s">
        <v>906</v>
      </c>
      <c r="C22" s="399">
        <v>1258</v>
      </c>
      <c r="D22" s="400">
        <f t="shared" si="0"/>
        <v>62.9</v>
      </c>
      <c r="E22" s="399">
        <v>1258</v>
      </c>
      <c r="F22" s="400">
        <f t="shared" si="1"/>
        <v>62.9</v>
      </c>
      <c r="G22" s="399">
        <v>0</v>
      </c>
      <c r="H22" s="400">
        <v>0</v>
      </c>
      <c r="I22" s="399">
        <v>0</v>
      </c>
      <c r="J22" s="400">
        <v>0</v>
      </c>
      <c r="K22" s="401">
        <v>0</v>
      </c>
    </row>
    <row r="23" spans="1:11" x14ac:dyDescent="0.2">
      <c r="A23" s="17">
        <v>12</v>
      </c>
      <c r="B23" s="269" t="s">
        <v>907</v>
      </c>
      <c r="C23" s="399">
        <v>1381</v>
      </c>
      <c r="D23" s="400">
        <f t="shared" si="0"/>
        <v>69.05</v>
      </c>
      <c r="E23" s="399">
        <v>1381</v>
      </c>
      <c r="F23" s="400">
        <f t="shared" si="1"/>
        <v>69.05</v>
      </c>
      <c r="G23" s="399">
        <v>0</v>
      </c>
      <c r="H23" s="400">
        <v>0</v>
      </c>
      <c r="I23" s="399">
        <v>0</v>
      </c>
      <c r="J23" s="400">
        <v>0</v>
      </c>
      <c r="K23" s="401">
        <v>0</v>
      </c>
    </row>
    <row r="24" spans="1:11" x14ac:dyDescent="0.2">
      <c r="A24" s="17">
        <v>13</v>
      </c>
      <c r="B24" s="176" t="s">
        <v>908</v>
      </c>
      <c r="C24" s="399">
        <v>658</v>
      </c>
      <c r="D24" s="400">
        <f t="shared" si="0"/>
        <v>32.9</v>
      </c>
      <c r="E24" s="399">
        <v>658</v>
      </c>
      <c r="F24" s="400">
        <f t="shared" si="1"/>
        <v>32.9</v>
      </c>
      <c r="G24" s="399">
        <v>0</v>
      </c>
      <c r="H24" s="400">
        <v>0</v>
      </c>
      <c r="I24" s="399">
        <v>0</v>
      </c>
      <c r="J24" s="400">
        <v>0</v>
      </c>
      <c r="K24" s="401">
        <v>0</v>
      </c>
    </row>
    <row r="25" spans="1:11" x14ac:dyDescent="0.2">
      <c r="A25" s="17">
        <v>14</v>
      </c>
      <c r="B25" s="176" t="s">
        <v>909</v>
      </c>
      <c r="C25" s="399">
        <v>1114</v>
      </c>
      <c r="D25" s="400">
        <f t="shared" si="0"/>
        <v>55.7</v>
      </c>
      <c r="E25" s="399">
        <v>1114</v>
      </c>
      <c r="F25" s="400">
        <f t="shared" si="1"/>
        <v>55.7</v>
      </c>
      <c r="G25" s="399">
        <v>0</v>
      </c>
      <c r="H25" s="400">
        <v>0</v>
      </c>
      <c r="I25" s="399">
        <v>0</v>
      </c>
      <c r="J25" s="400">
        <v>0</v>
      </c>
      <c r="K25" s="401">
        <v>0</v>
      </c>
    </row>
    <row r="26" spans="1:11" x14ac:dyDescent="0.2">
      <c r="A26" s="17">
        <v>15</v>
      </c>
      <c r="B26" s="176" t="s">
        <v>910</v>
      </c>
      <c r="C26" s="399">
        <v>2204</v>
      </c>
      <c r="D26" s="400">
        <f t="shared" si="0"/>
        <v>110.2</v>
      </c>
      <c r="E26" s="399">
        <v>2196</v>
      </c>
      <c r="F26" s="400">
        <f t="shared" si="1"/>
        <v>109.8</v>
      </c>
      <c r="G26" s="399">
        <v>0</v>
      </c>
      <c r="H26" s="400">
        <v>0</v>
      </c>
      <c r="I26" s="399">
        <v>8</v>
      </c>
      <c r="J26" s="400">
        <v>0.4</v>
      </c>
      <c r="K26" s="401">
        <v>0</v>
      </c>
    </row>
    <row r="27" spans="1:11" x14ac:dyDescent="0.2">
      <c r="A27" s="17">
        <v>16</v>
      </c>
      <c r="B27" s="176" t="s">
        <v>911</v>
      </c>
      <c r="C27" s="399">
        <v>2641</v>
      </c>
      <c r="D27" s="400">
        <f t="shared" si="0"/>
        <v>132.05000000000001</v>
      </c>
      <c r="E27" s="399">
        <v>2641</v>
      </c>
      <c r="F27" s="400">
        <f t="shared" si="1"/>
        <v>132.05000000000001</v>
      </c>
      <c r="G27" s="399">
        <v>0</v>
      </c>
      <c r="H27" s="400">
        <v>0</v>
      </c>
      <c r="I27" s="399">
        <v>0</v>
      </c>
      <c r="J27" s="400">
        <v>0</v>
      </c>
      <c r="K27" s="401">
        <v>0</v>
      </c>
    </row>
    <row r="28" spans="1:11" x14ac:dyDescent="0.2">
      <c r="A28" s="17">
        <v>17</v>
      </c>
      <c r="B28" s="176" t="s">
        <v>912</v>
      </c>
      <c r="C28" s="399">
        <v>1770</v>
      </c>
      <c r="D28" s="400">
        <f t="shared" si="0"/>
        <v>88.5</v>
      </c>
      <c r="E28" s="399">
        <v>1770</v>
      </c>
      <c r="F28" s="400">
        <f t="shared" si="1"/>
        <v>88.5</v>
      </c>
      <c r="G28" s="399">
        <v>0</v>
      </c>
      <c r="H28" s="400">
        <v>0</v>
      </c>
      <c r="I28" s="399">
        <v>0</v>
      </c>
      <c r="J28" s="400">
        <v>0</v>
      </c>
      <c r="K28" s="401">
        <v>0</v>
      </c>
    </row>
    <row r="29" spans="1:11" x14ac:dyDescent="0.2">
      <c r="A29" s="17">
        <v>18</v>
      </c>
      <c r="B29" s="176" t="s">
        <v>913</v>
      </c>
      <c r="C29" s="399">
        <v>2084</v>
      </c>
      <c r="D29" s="400">
        <f t="shared" si="0"/>
        <v>104.2</v>
      </c>
      <c r="E29" s="399">
        <v>2084</v>
      </c>
      <c r="F29" s="400">
        <f t="shared" si="1"/>
        <v>104.2</v>
      </c>
      <c r="G29" s="399">
        <v>0</v>
      </c>
      <c r="H29" s="400">
        <v>0</v>
      </c>
      <c r="I29" s="399">
        <v>0</v>
      </c>
      <c r="J29" s="400">
        <v>0</v>
      </c>
      <c r="K29" s="401">
        <v>0</v>
      </c>
    </row>
    <row r="30" spans="1:11" x14ac:dyDescent="0.2">
      <c r="A30" s="17">
        <v>19</v>
      </c>
      <c r="B30" s="176" t="s">
        <v>914</v>
      </c>
      <c r="C30" s="399">
        <v>1567</v>
      </c>
      <c r="D30" s="400">
        <f t="shared" si="0"/>
        <v>78.349999999999994</v>
      </c>
      <c r="E30" s="399">
        <v>1567</v>
      </c>
      <c r="F30" s="400">
        <f t="shared" si="1"/>
        <v>78.349999999999994</v>
      </c>
      <c r="G30" s="399">
        <v>0</v>
      </c>
      <c r="H30" s="400">
        <v>0</v>
      </c>
      <c r="I30" s="399">
        <v>0</v>
      </c>
      <c r="J30" s="400">
        <v>0</v>
      </c>
      <c r="K30" s="401">
        <v>0</v>
      </c>
    </row>
    <row r="31" spans="1:11" x14ac:dyDescent="0.2">
      <c r="A31" s="17">
        <v>20</v>
      </c>
      <c r="B31" s="176" t="s">
        <v>915</v>
      </c>
      <c r="C31" s="399">
        <v>1489</v>
      </c>
      <c r="D31" s="400">
        <f t="shared" si="0"/>
        <v>74.45</v>
      </c>
      <c r="E31" s="399">
        <v>1489</v>
      </c>
      <c r="F31" s="400">
        <f t="shared" si="1"/>
        <v>74.45</v>
      </c>
      <c r="G31" s="399">
        <v>0</v>
      </c>
      <c r="H31" s="400">
        <v>0</v>
      </c>
      <c r="I31" s="399">
        <v>0</v>
      </c>
      <c r="J31" s="400">
        <v>0</v>
      </c>
      <c r="K31" s="401">
        <v>0</v>
      </c>
    </row>
    <row r="32" spans="1:11" x14ac:dyDescent="0.2">
      <c r="A32" s="17">
        <v>21</v>
      </c>
      <c r="B32" s="176" t="s">
        <v>916</v>
      </c>
      <c r="C32" s="399">
        <v>1856</v>
      </c>
      <c r="D32" s="400">
        <f t="shared" si="0"/>
        <v>92.8</v>
      </c>
      <c r="E32" s="399">
        <v>1856</v>
      </c>
      <c r="F32" s="400">
        <f t="shared" si="1"/>
        <v>92.8</v>
      </c>
      <c r="G32" s="399">
        <v>0</v>
      </c>
      <c r="H32" s="400">
        <v>0</v>
      </c>
      <c r="I32" s="399">
        <v>0</v>
      </c>
      <c r="J32" s="400">
        <v>0</v>
      </c>
      <c r="K32" s="401">
        <v>0</v>
      </c>
    </row>
    <row r="33" spans="1:11" x14ac:dyDescent="0.2">
      <c r="A33" s="17">
        <v>22</v>
      </c>
      <c r="B33" s="176" t="s">
        <v>917</v>
      </c>
      <c r="C33" s="399">
        <v>1352</v>
      </c>
      <c r="D33" s="400">
        <f t="shared" si="0"/>
        <v>67.599999999999994</v>
      </c>
      <c r="E33" s="399">
        <v>1352</v>
      </c>
      <c r="F33" s="400">
        <f t="shared" si="1"/>
        <v>67.599999999999994</v>
      </c>
      <c r="G33" s="399">
        <v>0</v>
      </c>
      <c r="H33" s="400">
        <v>0</v>
      </c>
      <c r="I33" s="399">
        <v>0</v>
      </c>
      <c r="J33" s="400">
        <v>0</v>
      </c>
      <c r="K33" s="401">
        <v>0</v>
      </c>
    </row>
    <row r="34" spans="1:11" x14ac:dyDescent="0.2">
      <c r="A34" s="17">
        <v>23</v>
      </c>
      <c r="B34" s="176" t="s">
        <v>918</v>
      </c>
      <c r="C34" s="399">
        <v>1418</v>
      </c>
      <c r="D34" s="400">
        <f t="shared" si="0"/>
        <v>70.900000000000006</v>
      </c>
      <c r="E34" s="399">
        <v>1418</v>
      </c>
      <c r="F34" s="400">
        <f t="shared" si="1"/>
        <v>70.900000000000006</v>
      </c>
      <c r="G34" s="399">
        <v>0</v>
      </c>
      <c r="H34" s="400">
        <v>0</v>
      </c>
      <c r="I34" s="399">
        <v>0</v>
      </c>
      <c r="J34" s="400">
        <v>0</v>
      </c>
      <c r="K34" s="401">
        <v>0</v>
      </c>
    </row>
    <row r="35" spans="1:11" x14ac:dyDescent="0.2">
      <c r="A35" s="17">
        <v>24</v>
      </c>
      <c r="B35" s="18" t="s">
        <v>919</v>
      </c>
      <c r="C35" s="399">
        <v>1776</v>
      </c>
      <c r="D35" s="400">
        <f t="shared" si="0"/>
        <v>88.8</v>
      </c>
      <c r="E35" s="399">
        <v>1776</v>
      </c>
      <c r="F35" s="400">
        <f t="shared" si="1"/>
        <v>88.8</v>
      </c>
      <c r="G35" s="399">
        <v>0</v>
      </c>
      <c r="H35" s="400">
        <v>0</v>
      </c>
      <c r="I35" s="399">
        <v>0</v>
      </c>
      <c r="J35" s="400">
        <v>0</v>
      </c>
      <c r="K35" s="401">
        <v>0</v>
      </c>
    </row>
    <row r="36" spans="1:11" s="14" customFormat="1" x14ac:dyDescent="0.2">
      <c r="A36" s="802" t="s">
        <v>18</v>
      </c>
      <c r="B36" s="802"/>
      <c r="C36" s="310">
        <f t="shared" ref="C36:K36" si="2">SUM(C12:C35)</f>
        <v>37132</v>
      </c>
      <c r="D36" s="315">
        <f t="shared" si="2"/>
        <v>1856.6</v>
      </c>
      <c r="E36" s="310">
        <f t="shared" si="2"/>
        <v>37124</v>
      </c>
      <c r="F36" s="315">
        <f t="shared" si="2"/>
        <v>1856.1999999999998</v>
      </c>
      <c r="G36" s="310">
        <f t="shared" si="2"/>
        <v>0</v>
      </c>
      <c r="H36" s="315">
        <f t="shared" si="2"/>
        <v>0</v>
      </c>
      <c r="I36" s="310">
        <f t="shared" si="2"/>
        <v>8</v>
      </c>
      <c r="J36" s="315">
        <f>SUM(J12:J35)</f>
        <v>0.4</v>
      </c>
      <c r="K36" s="27">
        <f t="shared" si="2"/>
        <v>0</v>
      </c>
    </row>
    <row r="37" spans="1:11" x14ac:dyDescent="0.2">
      <c r="A37" s="1031" t="s">
        <v>1093</v>
      </c>
      <c r="B37" s="1031"/>
      <c r="C37" s="1031"/>
      <c r="D37" s="1031"/>
      <c r="E37" s="1031"/>
      <c r="F37" s="1031"/>
      <c r="G37" s="1031"/>
      <c r="H37" s="1031"/>
      <c r="I37" s="1031"/>
      <c r="J37" s="1031"/>
      <c r="K37" s="1031"/>
    </row>
    <row r="38" spans="1:11" x14ac:dyDescent="0.2">
      <c r="B38" s="520" t="s">
        <v>1042</v>
      </c>
    </row>
    <row r="41" spans="1:11" x14ac:dyDescent="0.2">
      <c r="A41" s="14" t="s">
        <v>22</v>
      </c>
      <c r="B41" s="1029"/>
      <c r="C41" s="1029"/>
      <c r="D41" s="1029"/>
      <c r="E41" s="1029"/>
      <c r="F41" s="1029"/>
      <c r="G41" s="1029"/>
      <c r="H41" s="1029"/>
      <c r="I41" s="630"/>
      <c r="J41" s="630"/>
    </row>
    <row r="42" spans="1:11" x14ac:dyDescent="0.2">
      <c r="A42" s="633"/>
      <c r="B42" s="1029"/>
      <c r="C42" s="1029"/>
      <c r="D42" s="1029"/>
      <c r="E42" s="1029"/>
      <c r="F42" s="1029"/>
      <c r="G42" s="1029"/>
      <c r="H42" s="1029"/>
      <c r="I42" s="821" t="s">
        <v>12</v>
      </c>
      <c r="J42" s="821"/>
    </row>
    <row r="43" spans="1:11" x14ac:dyDescent="0.2">
      <c r="A43" s="803" t="s">
        <v>13</v>
      </c>
      <c r="B43" s="803"/>
      <c r="C43" s="803"/>
      <c r="D43" s="803"/>
      <c r="E43" s="803"/>
      <c r="F43" s="803"/>
      <c r="G43" s="803"/>
      <c r="H43" s="803"/>
      <c r="I43" s="803"/>
      <c r="J43" s="803"/>
    </row>
    <row r="44" spans="1:11" x14ac:dyDescent="0.2">
      <c r="A44" s="803" t="s">
        <v>19</v>
      </c>
      <c r="B44" s="803"/>
      <c r="C44" s="803"/>
      <c r="D44" s="803"/>
      <c r="E44" s="803"/>
      <c r="F44" s="803"/>
      <c r="G44" s="803"/>
      <c r="H44" s="803"/>
      <c r="I44" s="803"/>
      <c r="J44" s="803"/>
    </row>
    <row r="45" spans="1:11" x14ac:dyDescent="0.2">
      <c r="B45" s="14"/>
      <c r="C45" s="14"/>
      <c r="D45" s="14"/>
      <c r="E45" s="14"/>
      <c r="F45" s="14"/>
      <c r="G45" s="633"/>
      <c r="H45" s="853" t="s">
        <v>23</v>
      </c>
      <c r="I45" s="853"/>
      <c r="J45" s="633"/>
    </row>
  </sheetData>
  <mergeCells count="22">
    <mergeCell ref="A7:B7"/>
    <mergeCell ref="A36:B36"/>
    <mergeCell ref="A37:K37"/>
    <mergeCell ref="J1:K1"/>
    <mergeCell ref="I9:J9"/>
    <mergeCell ref="D1:E1"/>
    <mergeCell ref="A2:J2"/>
    <mergeCell ref="A3:J3"/>
    <mergeCell ref="C9:D9"/>
    <mergeCell ref="A5:L5"/>
    <mergeCell ref="K9:K10"/>
    <mergeCell ref="I7:K7"/>
    <mergeCell ref="C8:J8"/>
    <mergeCell ref="A9:A10"/>
    <mergeCell ref="B9:B10"/>
    <mergeCell ref="E9:F9"/>
    <mergeCell ref="H45:I45"/>
    <mergeCell ref="G9:H9"/>
    <mergeCell ref="B41:H42"/>
    <mergeCell ref="I42:J42"/>
    <mergeCell ref="A43:J43"/>
    <mergeCell ref="A44:J44"/>
  </mergeCells>
  <phoneticPr fontId="0" type="noConversion"/>
  <printOptions horizontalCentered="1"/>
  <pageMargins left="0.70866141732283472" right="0.16" top="0.23622047244094491" bottom="0" header="0.31496062992125984" footer="0.31496062992125984"/>
  <pageSetup paperSize="9" scale="9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S44"/>
  <sheetViews>
    <sheetView topLeftCell="A16" zoomScaleNormal="100" zoomScaleSheetLayoutView="90" workbookViewId="0">
      <selection activeCell="A37" sqref="A37:J37"/>
    </sheetView>
  </sheetViews>
  <sheetFormatPr defaultRowHeight="12.75" x14ac:dyDescent="0.2"/>
  <cols>
    <col min="2" max="2" width="19" customWidth="1"/>
    <col min="3" max="3" width="16.28515625" customWidth="1"/>
    <col min="4" max="4" width="15.42578125" customWidth="1"/>
    <col min="5" max="5" width="12.5703125" customWidth="1"/>
    <col min="6" max="6" width="13" customWidth="1"/>
    <col min="7" max="7" width="12.28515625" customWidth="1"/>
    <col min="8" max="8" width="13.28515625" customWidth="1"/>
    <col min="9" max="9" width="15.28515625" customWidth="1"/>
    <col min="10" max="10" width="17" customWidth="1"/>
    <col min="11" max="11" width="15" customWidth="1"/>
  </cols>
  <sheetData>
    <row r="1" spans="1:19" ht="22.9" customHeight="1" x14ac:dyDescent="0.2">
      <c r="D1" s="853"/>
      <c r="E1" s="853"/>
      <c r="H1" s="40"/>
      <c r="J1" s="928" t="s">
        <v>472</v>
      </c>
      <c r="K1" s="928"/>
    </row>
    <row r="2" spans="1:19" ht="15" x14ac:dyDescent="0.2">
      <c r="A2" s="930" t="s">
        <v>0</v>
      </c>
      <c r="B2" s="930"/>
      <c r="C2" s="930"/>
      <c r="D2" s="930"/>
      <c r="E2" s="930"/>
      <c r="F2" s="930"/>
      <c r="G2" s="930"/>
      <c r="H2" s="930"/>
      <c r="I2" s="930"/>
      <c r="J2" s="930"/>
    </row>
    <row r="3" spans="1:19" ht="18" x14ac:dyDescent="0.25">
      <c r="A3" s="942" t="s">
        <v>740</v>
      </c>
      <c r="B3" s="942"/>
      <c r="C3" s="942"/>
      <c r="D3" s="942"/>
      <c r="E3" s="942"/>
      <c r="F3" s="942"/>
      <c r="G3" s="942"/>
      <c r="H3" s="942"/>
      <c r="I3" s="942"/>
      <c r="J3" s="942"/>
    </row>
    <row r="4" spans="1:19" ht="10.5" customHeight="1" x14ac:dyDescent="0.2"/>
    <row r="5" spans="1:19" s="15" customFormat="1" ht="15.75" customHeight="1" x14ac:dyDescent="0.2">
      <c r="A5" s="1033" t="s">
        <v>482</v>
      </c>
      <c r="B5" s="1033"/>
      <c r="C5" s="1033"/>
      <c r="D5" s="1033"/>
      <c r="E5" s="1033"/>
      <c r="F5" s="1033"/>
      <c r="G5" s="1033"/>
      <c r="H5" s="1033"/>
      <c r="I5" s="1033"/>
      <c r="J5" s="1033"/>
      <c r="K5" s="1033"/>
      <c r="L5" s="1033"/>
    </row>
    <row r="6" spans="1:19" s="15" customFormat="1" ht="15.7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9" s="15" customFormat="1" x14ac:dyDescent="0.2">
      <c r="A7" s="820" t="s">
        <v>920</v>
      </c>
      <c r="B7" s="820"/>
      <c r="I7" s="980" t="s">
        <v>832</v>
      </c>
      <c r="J7" s="980"/>
      <c r="K7" s="980"/>
    </row>
    <row r="8" spans="1:19" s="13" customFormat="1" ht="15.75" hidden="1" x14ac:dyDescent="0.25">
      <c r="C8" s="930" t="s">
        <v>15</v>
      </c>
      <c r="D8" s="930"/>
      <c r="E8" s="930"/>
      <c r="F8" s="930"/>
      <c r="G8" s="930"/>
      <c r="H8" s="930"/>
      <c r="I8" s="930"/>
      <c r="J8" s="930"/>
    </row>
    <row r="9" spans="1:19" ht="31.5" customHeight="1" x14ac:dyDescent="0.2">
      <c r="A9" s="834" t="s">
        <v>25</v>
      </c>
      <c r="B9" s="834" t="s">
        <v>38</v>
      </c>
      <c r="C9" s="834" t="s">
        <v>863</v>
      </c>
      <c r="D9" s="834"/>
      <c r="E9" s="834" t="s">
        <v>471</v>
      </c>
      <c r="F9" s="834"/>
      <c r="G9" s="834" t="s">
        <v>40</v>
      </c>
      <c r="H9" s="834"/>
      <c r="I9" s="834" t="s">
        <v>107</v>
      </c>
      <c r="J9" s="834"/>
      <c r="K9" s="834" t="s">
        <v>508</v>
      </c>
      <c r="R9" s="9"/>
      <c r="S9" s="12"/>
    </row>
    <row r="10" spans="1:19" s="14" customFormat="1" ht="46.5" customHeight="1" x14ac:dyDescent="0.2">
      <c r="A10" s="834"/>
      <c r="B10" s="834"/>
      <c r="C10" s="5" t="s">
        <v>41</v>
      </c>
      <c r="D10" s="5" t="s">
        <v>106</v>
      </c>
      <c r="E10" s="5" t="s">
        <v>41</v>
      </c>
      <c r="F10" s="5" t="s">
        <v>106</v>
      </c>
      <c r="G10" s="5" t="s">
        <v>41</v>
      </c>
      <c r="H10" s="5" t="s">
        <v>106</v>
      </c>
      <c r="I10" s="5" t="s">
        <v>131</v>
      </c>
      <c r="J10" s="5" t="s">
        <v>132</v>
      </c>
      <c r="K10" s="834"/>
    </row>
    <row r="11" spans="1:19" x14ac:dyDescent="0.2">
      <c r="A11" s="226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6">
        <v>8</v>
      </c>
      <c r="I11" s="226">
        <v>9</v>
      </c>
      <c r="J11" s="226">
        <v>10</v>
      </c>
      <c r="K11" s="226">
        <v>11</v>
      </c>
    </row>
    <row r="12" spans="1:19" x14ac:dyDescent="0.2">
      <c r="A12" s="17">
        <v>1</v>
      </c>
      <c r="B12" s="176" t="s">
        <v>896</v>
      </c>
      <c r="C12" s="308">
        <v>612</v>
      </c>
      <c r="D12" s="313">
        <f>C12*5000/100000</f>
        <v>30.6</v>
      </c>
      <c r="E12" s="308">
        <v>612</v>
      </c>
      <c r="F12" s="313">
        <f>E12*5000/100000</f>
        <v>30.6</v>
      </c>
      <c r="G12" s="308">
        <v>0</v>
      </c>
      <c r="H12" s="313">
        <v>0</v>
      </c>
      <c r="I12" s="308">
        <f>C12-E12</f>
        <v>0</v>
      </c>
      <c r="J12" s="313">
        <f>I12*5000/100000</f>
        <v>0</v>
      </c>
      <c r="K12" s="18">
        <v>0</v>
      </c>
    </row>
    <row r="13" spans="1:19" x14ac:dyDescent="0.2">
      <c r="A13" s="17">
        <v>2</v>
      </c>
      <c r="B13" s="176" t="s">
        <v>897</v>
      </c>
      <c r="C13" s="308">
        <v>398</v>
      </c>
      <c r="D13" s="313">
        <f t="shared" ref="D13:D35" si="0">C13*5000/100000</f>
        <v>19.899999999999999</v>
      </c>
      <c r="E13" s="308">
        <v>398</v>
      </c>
      <c r="F13" s="313">
        <f t="shared" ref="F13:F35" si="1">E13*5000/100000</f>
        <v>19.899999999999999</v>
      </c>
      <c r="G13" s="308">
        <v>0</v>
      </c>
      <c r="H13" s="313">
        <v>0</v>
      </c>
      <c r="I13" s="308">
        <f t="shared" ref="I13:I35" si="2">C13-E13</f>
        <v>0</v>
      </c>
      <c r="J13" s="313">
        <f t="shared" ref="J13:J35" si="3">I13*5000/100000</f>
        <v>0</v>
      </c>
      <c r="K13" s="18">
        <v>0</v>
      </c>
    </row>
    <row r="14" spans="1:19" x14ac:dyDescent="0.2">
      <c r="A14" s="17">
        <v>3</v>
      </c>
      <c r="B14" s="176" t="s">
        <v>898</v>
      </c>
      <c r="C14" s="308">
        <v>508</v>
      </c>
      <c r="D14" s="313">
        <f t="shared" si="0"/>
        <v>25.4</v>
      </c>
      <c r="E14" s="308">
        <v>508</v>
      </c>
      <c r="F14" s="313">
        <f t="shared" si="1"/>
        <v>25.4</v>
      </c>
      <c r="G14" s="308">
        <v>0</v>
      </c>
      <c r="H14" s="313">
        <v>0</v>
      </c>
      <c r="I14" s="308">
        <f t="shared" si="2"/>
        <v>0</v>
      </c>
      <c r="J14" s="313">
        <f t="shared" si="3"/>
        <v>0</v>
      </c>
      <c r="K14" s="18">
        <v>0</v>
      </c>
    </row>
    <row r="15" spans="1:19" x14ac:dyDescent="0.2">
      <c r="A15" s="17">
        <v>4</v>
      </c>
      <c r="B15" s="176" t="s">
        <v>899</v>
      </c>
      <c r="C15" s="308">
        <v>479</v>
      </c>
      <c r="D15" s="313">
        <f t="shared" si="0"/>
        <v>23.95</v>
      </c>
      <c r="E15" s="308">
        <v>479</v>
      </c>
      <c r="F15" s="313">
        <f t="shared" si="1"/>
        <v>23.95</v>
      </c>
      <c r="G15" s="308">
        <v>0</v>
      </c>
      <c r="H15" s="313">
        <v>0</v>
      </c>
      <c r="I15" s="308">
        <f t="shared" si="2"/>
        <v>0</v>
      </c>
      <c r="J15" s="313">
        <f t="shared" si="3"/>
        <v>0</v>
      </c>
      <c r="K15" s="18">
        <v>0</v>
      </c>
    </row>
    <row r="16" spans="1:19" x14ac:dyDescent="0.2">
      <c r="A16" s="17">
        <v>5</v>
      </c>
      <c r="B16" s="176" t="s">
        <v>900</v>
      </c>
      <c r="C16" s="308">
        <v>598</v>
      </c>
      <c r="D16" s="313">
        <f t="shared" si="0"/>
        <v>29.9</v>
      </c>
      <c r="E16" s="308">
        <v>598</v>
      </c>
      <c r="F16" s="313">
        <f t="shared" si="1"/>
        <v>29.9</v>
      </c>
      <c r="G16" s="308">
        <v>0</v>
      </c>
      <c r="H16" s="313">
        <v>0</v>
      </c>
      <c r="I16" s="308">
        <f t="shared" si="2"/>
        <v>0</v>
      </c>
      <c r="J16" s="313">
        <f t="shared" si="3"/>
        <v>0</v>
      </c>
      <c r="K16" s="18">
        <v>0</v>
      </c>
    </row>
    <row r="17" spans="1:11" x14ac:dyDescent="0.2">
      <c r="A17" s="17">
        <v>6</v>
      </c>
      <c r="B17" s="176" t="s">
        <v>901</v>
      </c>
      <c r="C17" s="308">
        <v>734</v>
      </c>
      <c r="D17" s="313">
        <f t="shared" si="0"/>
        <v>36.700000000000003</v>
      </c>
      <c r="E17" s="308">
        <v>734</v>
      </c>
      <c r="F17" s="313">
        <f t="shared" si="1"/>
        <v>36.700000000000003</v>
      </c>
      <c r="G17" s="308">
        <v>0</v>
      </c>
      <c r="H17" s="313">
        <v>0</v>
      </c>
      <c r="I17" s="308">
        <f t="shared" si="2"/>
        <v>0</v>
      </c>
      <c r="J17" s="313">
        <f t="shared" si="3"/>
        <v>0</v>
      </c>
      <c r="K17" s="18">
        <v>0</v>
      </c>
    </row>
    <row r="18" spans="1:11" x14ac:dyDescent="0.2">
      <c r="A18" s="17">
        <v>7</v>
      </c>
      <c r="B18" s="176" t="s">
        <v>902</v>
      </c>
      <c r="C18" s="308">
        <v>598</v>
      </c>
      <c r="D18" s="313">
        <f t="shared" si="0"/>
        <v>29.9</v>
      </c>
      <c r="E18" s="308">
        <v>598</v>
      </c>
      <c r="F18" s="313">
        <f t="shared" si="1"/>
        <v>29.9</v>
      </c>
      <c r="G18" s="308">
        <v>0</v>
      </c>
      <c r="H18" s="313">
        <v>0</v>
      </c>
      <c r="I18" s="308">
        <f t="shared" si="2"/>
        <v>0</v>
      </c>
      <c r="J18" s="313">
        <f t="shared" si="3"/>
        <v>0</v>
      </c>
      <c r="K18" s="18">
        <v>0</v>
      </c>
    </row>
    <row r="19" spans="1:11" x14ac:dyDescent="0.2">
      <c r="A19" s="17">
        <v>8</v>
      </c>
      <c r="B19" s="176" t="s">
        <v>903</v>
      </c>
      <c r="C19" s="308">
        <v>801</v>
      </c>
      <c r="D19" s="313">
        <f t="shared" si="0"/>
        <v>40.049999999999997</v>
      </c>
      <c r="E19" s="308">
        <v>801</v>
      </c>
      <c r="F19" s="313">
        <f t="shared" si="1"/>
        <v>40.049999999999997</v>
      </c>
      <c r="G19" s="308">
        <v>0</v>
      </c>
      <c r="H19" s="313">
        <v>0</v>
      </c>
      <c r="I19" s="308">
        <f t="shared" si="2"/>
        <v>0</v>
      </c>
      <c r="J19" s="313">
        <f t="shared" si="3"/>
        <v>0</v>
      </c>
      <c r="K19" s="18">
        <v>0</v>
      </c>
    </row>
    <row r="20" spans="1:11" x14ac:dyDescent="0.2">
      <c r="A20" s="17">
        <v>9</v>
      </c>
      <c r="B20" s="176" t="s">
        <v>904</v>
      </c>
      <c r="C20" s="308">
        <v>752</v>
      </c>
      <c r="D20" s="313">
        <f t="shared" si="0"/>
        <v>37.6</v>
      </c>
      <c r="E20" s="308">
        <v>752</v>
      </c>
      <c r="F20" s="313">
        <f t="shared" si="1"/>
        <v>37.6</v>
      </c>
      <c r="G20" s="308">
        <v>0</v>
      </c>
      <c r="H20" s="313">
        <v>0</v>
      </c>
      <c r="I20" s="308">
        <f t="shared" si="2"/>
        <v>0</v>
      </c>
      <c r="J20" s="313">
        <f t="shared" si="3"/>
        <v>0</v>
      </c>
      <c r="K20" s="18">
        <v>0</v>
      </c>
    </row>
    <row r="21" spans="1:11" x14ac:dyDescent="0.2">
      <c r="A21" s="17">
        <v>10</v>
      </c>
      <c r="B21" s="176" t="s">
        <v>905</v>
      </c>
      <c r="C21" s="308">
        <v>632</v>
      </c>
      <c r="D21" s="313">
        <f t="shared" si="0"/>
        <v>31.6</v>
      </c>
      <c r="E21" s="308">
        <v>632</v>
      </c>
      <c r="F21" s="313">
        <f t="shared" si="1"/>
        <v>31.6</v>
      </c>
      <c r="G21" s="308">
        <v>0</v>
      </c>
      <c r="H21" s="313">
        <v>0</v>
      </c>
      <c r="I21" s="308">
        <f t="shared" si="2"/>
        <v>0</v>
      </c>
      <c r="J21" s="313">
        <f t="shared" si="3"/>
        <v>0</v>
      </c>
      <c r="K21" s="18">
        <v>0</v>
      </c>
    </row>
    <row r="22" spans="1:11" x14ac:dyDescent="0.2">
      <c r="A22" s="17">
        <v>11</v>
      </c>
      <c r="B22" s="176" t="s">
        <v>906</v>
      </c>
      <c r="C22" s="308">
        <v>752</v>
      </c>
      <c r="D22" s="313">
        <f t="shared" si="0"/>
        <v>37.6</v>
      </c>
      <c r="E22" s="308">
        <v>752</v>
      </c>
      <c r="F22" s="313">
        <f t="shared" si="1"/>
        <v>37.6</v>
      </c>
      <c r="G22" s="308">
        <v>0</v>
      </c>
      <c r="H22" s="313">
        <v>0</v>
      </c>
      <c r="I22" s="308">
        <f t="shared" si="2"/>
        <v>0</v>
      </c>
      <c r="J22" s="313">
        <f t="shared" si="3"/>
        <v>0</v>
      </c>
      <c r="K22" s="18">
        <v>0</v>
      </c>
    </row>
    <row r="23" spans="1:11" x14ac:dyDescent="0.2">
      <c r="A23" s="17">
        <v>12</v>
      </c>
      <c r="B23" s="269" t="s">
        <v>907</v>
      </c>
      <c r="C23" s="308">
        <v>672</v>
      </c>
      <c r="D23" s="313">
        <f t="shared" si="0"/>
        <v>33.6</v>
      </c>
      <c r="E23" s="308">
        <v>672</v>
      </c>
      <c r="F23" s="313">
        <f t="shared" si="1"/>
        <v>33.6</v>
      </c>
      <c r="G23" s="308">
        <v>0</v>
      </c>
      <c r="H23" s="313">
        <v>0</v>
      </c>
      <c r="I23" s="308">
        <f t="shared" si="2"/>
        <v>0</v>
      </c>
      <c r="J23" s="313">
        <f t="shared" si="3"/>
        <v>0</v>
      </c>
      <c r="K23" s="18">
        <v>0</v>
      </c>
    </row>
    <row r="24" spans="1:11" x14ac:dyDescent="0.2">
      <c r="A24" s="17">
        <v>13</v>
      </c>
      <c r="B24" s="176" t="s">
        <v>908</v>
      </c>
      <c r="C24" s="308">
        <v>391</v>
      </c>
      <c r="D24" s="313">
        <f t="shared" si="0"/>
        <v>19.55</v>
      </c>
      <c r="E24" s="308">
        <v>391</v>
      </c>
      <c r="F24" s="313">
        <f t="shared" si="1"/>
        <v>19.55</v>
      </c>
      <c r="G24" s="308">
        <v>0</v>
      </c>
      <c r="H24" s="313">
        <v>0</v>
      </c>
      <c r="I24" s="308">
        <f t="shared" si="2"/>
        <v>0</v>
      </c>
      <c r="J24" s="313">
        <f t="shared" si="3"/>
        <v>0</v>
      </c>
      <c r="K24" s="18">
        <v>0</v>
      </c>
    </row>
    <row r="25" spans="1:11" x14ac:dyDescent="0.2">
      <c r="A25" s="17">
        <v>14</v>
      </c>
      <c r="B25" s="176" t="s">
        <v>909</v>
      </c>
      <c r="C25" s="308">
        <v>602</v>
      </c>
      <c r="D25" s="313">
        <f t="shared" si="0"/>
        <v>30.1</v>
      </c>
      <c r="E25" s="308">
        <v>602</v>
      </c>
      <c r="F25" s="313">
        <f t="shared" si="1"/>
        <v>30.1</v>
      </c>
      <c r="G25" s="308">
        <v>0</v>
      </c>
      <c r="H25" s="313">
        <v>0</v>
      </c>
      <c r="I25" s="308">
        <f t="shared" si="2"/>
        <v>0</v>
      </c>
      <c r="J25" s="313">
        <f t="shared" si="3"/>
        <v>0</v>
      </c>
      <c r="K25" s="18">
        <v>0</v>
      </c>
    </row>
    <row r="26" spans="1:11" x14ac:dyDescent="0.2">
      <c r="A26" s="17">
        <v>15</v>
      </c>
      <c r="B26" s="176" t="s">
        <v>910</v>
      </c>
      <c r="C26" s="308">
        <v>672</v>
      </c>
      <c r="D26" s="313">
        <f t="shared" si="0"/>
        <v>33.6</v>
      </c>
      <c r="E26" s="308">
        <v>672</v>
      </c>
      <c r="F26" s="313">
        <f t="shared" si="1"/>
        <v>33.6</v>
      </c>
      <c r="G26" s="308">
        <v>0</v>
      </c>
      <c r="H26" s="313">
        <v>0</v>
      </c>
      <c r="I26" s="308">
        <f t="shared" si="2"/>
        <v>0</v>
      </c>
      <c r="J26" s="313">
        <f t="shared" si="3"/>
        <v>0</v>
      </c>
      <c r="K26" s="18">
        <v>0</v>
      </c>
    </row>
    <row r="27" spans="1:11" x14ac:dyDescent="0.2">
      <c r="A27" s="17">
        <v>16</v>
      </c>
      <c r="B27" s="176" t="s">
        <v>911</v>
      </c>
      <c r="C27" s="308">
        <v>782</v>
      </c>
      <c r="D27" s="313">
        <f t="shared" si="0"/>
        <v>39.1</v>
      </c>
      <c r="E27" s="308">
        <v>782</v>
      </c>
      <c r="F27" s="313">
        <f t="shared" si="1"/>
        <v>39.1</v>
      </c>
      <c r="G27" s="308">
        <v>0</v>
      </c>
      <c r="H27" s="313">
        <v>0</v>
      </c>
      <c r="I27" s="308">
        <f t="shared" si="2"/>
        <v>0</v>
      </c>
      <c r="J27" s="313">
        <f t="shared" si="3"/>
        <v>0</v>
      </c>
      <c r="K27" s="18">
        <v>0</v>
      </c>
    </row>
    <row r="28" spans="1:11" x14ac:dyDescent="0.2">
      <c r="A28" s="17">
        <v>17</v>
      </c>
      <c r="B28" s="176" t="s">
        <v>912</v>
      </c>
      <c r="C28" s="308">
        <v>862</v>
      </c>
      <c r="D28" s="313">
        <f t="shared" si="0"/>
        <v>43.1</v>
      </c>
      <c r="E28" s="308">
        <v>862</v>
      </c>
      <c r="F28" s="313">
        <f t="shared" si="1"/>
        <v>43.1</v>
      </c>
      <c r="G28" s="308">
        <v>0</v>
      </c>
      <c r="H28" s="313">
        <v>0</v>
      </c>
      <c r="I28" s="308">
        <f t="shared" si="2"/>
        <v>0</v>
      </c>
      <c r="J28" s="313">
        <f t="shared" si="3"/>
        <v>0</v>
      </c>
      <c r="K28" s="18">
        <v>0</v>
      </c>
    </row>
    <row r="29" spans="1:11" x14ac:dyDescent="0.2">
      <c r="A29" s="17">
        <v>18</v>
      </c>
      <c r="B29" s="176" t="s">
        <v>913</v>
      </c>
      <c r="C29" s="308">
        <v>752</v>
      </c>
      <c r="D29" s="313">
        <f t="shared" si="0"/>
        <v>37.6</v>
      </c>
      <c r="E29" s="308">
        <v>752</v>
      </c>
      <c r="F29" s="313">
        <f t="shared" si="1"/>
        <v>37.6</v>
      </c>
      <c r="G29" s="308">
        <v>0</v>
      </c>
      <c r="H29" s="313">
        <v>0</v>
      </c>
      <c r="I29" s="308">
        <f t="shared" si="2"/>
        <v>0</v>
      </c>
      <c r="J29" s="313">
        <f t="shared" si="3"/>
        <v>0</v>
      </c>
      <c r="K29" s="18">
        <v>0</v>
      </c>
    </row>
    <row r="30" spans="1:11" x14ac:dyDescent="0.2">
      <c r="A30" s="17">
        <v>19</v>
      </c>
      <c r="B30" s="176" t="s">
        <v>914</v>
      </c>
      <c r="C30" s="308">
        <v>712</v>
      </c>
      <c r="D30" s="313">
        <f t="shared" si="0"/>
        <v>35.6</v>
      </c>
      <c r="E30" s="308">
        <v>712</v>
      </c>
      <c r="F30" s="313">
        <f t="shared" si="1"/>
        <v>35.6</v>
      </c>
      <c r="G30" s="308">
        <v>0</v>
      </c>
      <c r="H30" s="313">
        <v>0</v>
      </c>
      <c r="I30" s="308">
        <f t="shared" si="2"/>
        <v>0</v>
      </c>
      <c r="J30" s="313">
        <f t="shared" si="3"/>
        <v>0</v>
      </c>
      <c r="K30" s="18">
        <v>0</v>
      </c>
    </row>
    <row r="31" spans="1:11" x14ac:dyDescent="0.2">
      <c r="A31" s="17">
        <v>20</v>
      </c>
      <c r="B31" s="176" t="s">
        <v>915</v>
      </c>
      <c r="C31" s="308">
        <v>672</v>
      </c>
      <c r="D31" s="313">
        <f t="shared" si="0"/>
        <v>33.6</v>
      </c>
      <c r="E31" s="308">
        <v>672</v>
      </c>
      <c r="F31" s="313">
        <f t="shared" si="1"/>
        <v>33.6</v>
      </c>
      <c r="G31" s="308">
        <v>0</v>
      </c>
      <c r="H31" s="313">
        <v>0</v>
      </c>
      <c r="I31" s="308">
        <f t="shared" si="2"/>
        <v>0</v>
      </c>
      <c r="J31" s="313">
        <f t="shared" si="3"/>
        <v>0</v>
      </c>
      <c r="K31" s="18">
        <v>0</v>
      </c>
    </row>
    <row r="32" spans="1:11" x14ac:dyDescent="0.2">
      <c r="A32" s="17">
        <v>21</v>
      </c>
      <c r="B32" s="176" t="s">
        <v>916</v>
      </c>
      <c r="C32" s="308">
        <v>772</v>
      </c>
      <c r="D32" s="313">
        <f t="shared" si="0"/>
        <v>38.6</v>
      </c>
      <c r="E32" s="308">
        <v>772</v>
      </c>
      <c r="F32" s="313">
        <f t="shared" si="1"/>
        <v>38.6</v>
      </c>
      <c r="G32" s="308">
        <v>0</v>
      </c>
      <c r="H32" s="313">
        <v>0</v>
      </c>
      <c r="I32" s="308">
        <f t="shared" si="2"/>
        <v>0</v>
      </c>
      <c r="J32" s="313">
        <f t="shared" si="3"/>
        <v>0</v>
      </c>
      <c r="K32" s="18">
        <v>0</v>
      </c>
    </row>
    <row r="33" spans="1:11" x14ac:dyDescent="0.2">
      <c r="A33" s="17">
        <v>22</v>
      </c>
      <c r="B33" s="176" t="s">
        <v>917</v>
      </c>
      <c r="C33" s="308">
        <v>672</v>
      </c>
      <c r="D33" s="313">
        <f t="shared" si="0"/>
        <v>33.6</v>
      </c>
      <c r="E33" s="308">
        <v>672</v>
      </c>
      <c r="F33" s="313">
        <f t="shared" si="1"/>
        <v>33.6</v>
      </c>
      <c r="G33" s="308">
        <v>0</v>
      </c>
      <c r="H33" s="313">
        <v>0</v>
      </c>
      <c r="I33" s="308">
        <f t="shared" si="2"/>
        <v>0</v>
      </c>
      <c r="J33" s="313">
        <f t="shared" si="3"/>
        <v>0</v>
      </c>
      <c r="K33" s="18">
        <v>0</v>
      </c>
    </row>
    <row r="34" spans="1:11" x14ac:dyDescent="0.2">
      <c r="A34" s="17">
        <v>23</v>
      </c>
      <c r="B34" s="176" t="s">
        <v>918</v>
      </c>
      <c r="C34" s="308">
        <v>672</v>
      </c>
      <c r="D34" s="313">
        <f t="shared" si="0"/>
        <v>33.6</v>
      </c>
      <c r="E34" s="308">
        <v>672</v>
      </c>
      <c r="F34" s="313">
        <f t="shared" si="1"/>
        <v>33.6</v>
      </c>
      <c r="G34" s="308">
        <v>0</v>
      </c>
      <c r="H34" s="313">
        <v>0</v>
      </c>
      <c r="I34" s="308">
        <f t="shared" si="2"/>
        <v>0</v>
      </c>
      <c r="J34" s="313">
        <f t="shared" si="3"/>
        <v>0</v>
      </c>
      <c r="K34" s="18">
        <v>0</v>
      </c>
    </row>
    <row r="35" spans="1:11" x14ac:dyDescent="0.2">
      <c r="A35" s="17">
        <v>24</v>
      </c>
      <c r="B35" s="18" t="s">
        <v>919</v>
      </c>
      <c r="C35" s="308">
        <v>752</v>
      </c>
      <c r="D35" s="313">
        <f t="shared" si="0"/>
        <v>37.6</v>
      </c>
      <c r="E35" s="308">
        <v>752</v>
      </c>
      <c r="F35" s="313">
        <f t="shared" si="1"/>
        <v>37.6</v>
      </c>
      <c r="G35" s="308">
        <v>0</v>
      </c>
      <c r="H35" s="313">
        <v>0</v>
      </c>
      <c r="I35" s="308">
        <f t="shared" si="2"/>
        <v>0</v>
      </c>
      <c r="J35" s="313">
        <f t="shared" si="3"/>
        <v>0</v>
      </c>
      <c r="K35" s="18">
        <v>0</v>
      </c>
    </row>
    <row r="36" spans="1:11" s="14" customFormat="1" x14ac:dyDescent="0.2">
      <c r="A36" s="802" t="s">
        <v>18</v>
      </c>
      <c r="B36" s="802"/>
      <c r="C36" s="310">
        <f t="shared" ref="C36:K36" si="4">SUM(C12:C35)</f>
        <v>15849</v>
      </c>
      <c r="D36" s="315">
        <f t="shared" si="4"/>
        <v>792.45000000000027</v>
      </c>
      <c r="E36" s="310">
        <f t="shared" si="4"/>
        <v>15849</v>
      </c>
      <c r="F36" s="315">
        <f t="shared" si="4"/>
        <v>792.45000000000027</v>
      </c>
      <c r="G36" s="310">
        <f t="shared" si="4"/>
        <v>0</v>
      </c>
      <c r="H36" s="315">
        <f t="shared" si="4"/>
        <v>0</v>
      </c>
      <c r="I36" s="310">
        <f t="shared" si="4"/>
        <v>0</v>
      </c>
      <c r="J36" s="315">
        <f t="shared" si="4"/>
        <v>0</v>
      </c>
      <c r="K36" s="27">
        <f t="shared" si="4"/>
        <v>0</v>
      </c>
    </row>
    <row r="37" spans="1:11" x14ac:dyDescent="0.2">
      <c r="A37" s="922"/>
      <c r="B37" s="922"/>
      <c r="C37" s="922"/>
      <c r="D37" s="922"/>
      <c r="E37" s="922"/>
      <c r="F37" s="922"/>
      <c r="G37" s="922"/>
      <c r="H37" s="922"/>
      <c r="I37" s="922"/>
      <c r="J37" s="922"/>
    </row>
    <row r="40" spans="1:11" x14ac:dyDescent="0.2">
      <c r="A40" s="14" t="s">
        <v>22</v>
      </c>
      <c r="B40" s="1029"/>
      <c r="C40" s="1029"/>
      <c r="D40" s="1029"/>
      <c r="E40" s="1029"/>
      <c r="F40" s="1029"/>
      <c r="G40" s="1029"/>
      <c r="H40" s="1029"/>
      <c r="I40" s="630"/>
      <c r="J40" s="630"/>
    </row>
    <row r="41" spans="1:11" x14ac:dyDescent="0.2">
      <c r="A41" s="633"/>
      <c r="B41" s="1029"/>
      <c r="C41" s="1029"/>
      <c r="D41" s="1029"/>
      <c r="E41" s="1029"/>
      <c r="F41" s="1029"/>
      <c r="G41" s="1029"/>
      <c r="H41" s="1029"/>
      <c r="I41" s="821" t="s">
        <v>12</v>
      </c>
      <c r="J41" s="821"/>
    </row>
    <row r="42" spans="1:11" x14ac:dyDescent="0.2">
      <c r="A42" s="803" t="s">
        <v>13</v>
      </c>
      <c r="B42" s="803"/>
      <c r="C42" s="803"/>
      <c r="D42" s="803"/>
      <c r="E42" s="803"/>
      <c r="F42" s="803"/>
      <c r="G42" s="803"/>
      <c r="H42" s="803"/>
      <c r="I42" s="803"/>
      <c r="J42" s="803"/>
    </row>
    <row r="43" spans="1:11" x14ac:dyDescent="0.2">
      <c r="A43" s="803" t="s">
        <v>19</v>
      </c>
      <c r="B43" s="803"/>
      <c r="C43" s="803"/>
      <c r="D43" s="803"/>
      <c r="E43" s="803"/>
      <c r="F43" s="803"/>
      <c r="G43" s="803"/>
      <c r="H43" s="803"/>
      <c r="I43" s="803"/>
      <c r="J43" s="803"/>
    </row>
    <row r="44" spans="1:11" x14ac:dyDescent="0.2">
      <c r="B44" s="14"/>
      <c r="C44" s="14"/>
      <c r="D44" s="14"/>
      <c r="E44" s="14"/>
      <c r="F44" s="14"/>
      <c r="G44" s="633"/>
      <c r="H44" s="853" t="s">
        <v>23</v>
      </c>
      <c r="I44" s="853"/>
      <c r="J44" s="633"/>
    </row>
  </sheetData>
  <mergeCells count="22">
    <mergeCell ref="A7:B7"/>
    <mergeCell ref="I7:K7"/>
    <mergeCell ref="D1:E1"/>
    <mergeCell ref="J1:K1"/>
    <mergeCell ref="A2:J2"/>
    <mergeCell ref="A3:J3"/>
    <mergeCell ref="A5:L5"/>
    <mergeCell ref="A37:J37"/>
    <mergeCell ref="K9:K10"/>
    <mergeCell ref="C8:J8"/>
    <mergeCell ref="A9:A10"/>
    <mergeCell ref="B9:B10"/>
    <mergeCell ref="C9:D9"/>
    <mergeCell ref="E9:F9"/>
    <mergeCell ref="G9:H9"/>
    <mergeCell ref="I9:J9"/>
    <mergeCell ref="A36:B36"/>
    <mergeCell ref="B40:H41"/>
    <mergeCell ref="I41:J41"/>
    <mergeCell ref="A42:J42"/>
    <mergeCell ref="A43:J43"/>
    <mergeCell ref="H44:I44"/>
  </mergeCells>
  <printOptions horizontalCentered="1"/>
  <pageMargins left="0.48" right="0.16" top="0.23622047244094491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4"/>
  <sheetViews>
    <sheetView topLeftCell="A34" zoomScale="90" zoomScaleNormal="90" zoomScaleSheetLayoutView="86" workbookViewId="0">
      <selection activeCell="H49" sqref="H49"/>
    </sheetView>
  </sheetViews>
  <sheetFormatPr defaultColWidth="9.140625" defaultRowHeight="12.75" x14ac:dyDescent="0.2"/>
  <cols>
    <col min="1" max="1" width="9.28515625" style="14" customWidth="1"/>
    <col min="2" max="3" width="8.5703125" style="14" customWidth="1"/>
    <col min="4" max="4" width="9.28515625" style="14" bestFit="1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15" width="8.5703125" style="14" customWidth="1"/>
    <col min="16" max="16" width="8.42578125" style="14" customWidth="1"/>
    <col min="17" max="17" width="8.5703125" style="14" customWidth="1"/>
    <col min="18" max="18" width="10.85546875" style="14" bestFit="1" customWidth="1"/>
    <col min="19" max="19" width="8.5703125" style="14" customWidth="1"/>
    <col min="20" max="16384" width="9.140625" style="14"/>
  </cols>
  <sheetData>
    <row r="1" spans="1:19" x14ac:dyDescent="0.2">
      <c r="A1" s="14" t="s">
        <v>10</v>
      </c>
      <c r="H1" s="853"/>
      <c r="I1" s="853"/>
      <c r="R1" s="849" t="s">
        <v>56</v>
      </c>
      <c r="S1" s="849"/>
    </row>
    <row r="2" spans="1:19" s="13" customFormat="1" ht="15.75" x14ac:dyDescent="0.25">
      <c r="A2" s="850" t="s">
        <v>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</row>
    <row r="3" spans="1:19" s="13" customFormat="1" ht="20.25" customHeight="1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</row>
    <row r="5" spans="1:19" s="13" customFormat="1" ht="15.75" x14ac:dyDescent="0.25">
      <c r="A5" s="852" t="s">
        <v>789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</row>
    <row r="6" spans="1:19" x14ac:dyDescent="0.2">
      <c r="A6" s="820" t="s">
        <v>158</v>
      </c>
      <c r="B6" s="820"/>
    </row>
    <row r="7" spans="1:19" x14ac:dyDescent="0.2">
      <c r="A7" s="820" t="s">
        <v>164</v>
      </c>
      <c r="B7" s="820"/>
      <c r="C7" s="820"/>
      <c r="D7" s="820"/>
      <c r="E7" s="820"/>
      <c r="F7" s="820"/>
      <c r="G7" s="820"/>
      <c r="H7" s="820"/>
      <c r="I7" s="820"/>
      <c r="R7" s="28"/>
      <c r="S7" s="28"/>
    </row>
    <row r="9" spans="1:19" ht="18" customHeight="1" x14ac:dyDescent="0.2">
      <c r="A9" s="5"/>
      <c r="B9" s="834" t="s">
        <v>43</v>
      </c>
      <c r="C9" s="834"/>
      <c r="D9" s="834" t="s">
        <v>44</v>
      </c>
      <c r="E9" s="834"/>
      <c r="F9" s="834" t="s">
        <v>45</v>
      </c>
      <c r="G9" s="834"/>
      <c r="H9" s="854" t="s">
        <v>46</v>
      </c>
      <c r="I9" s="854"/>
      <c r="J9" s="834" t="s">
        <v>47</v>
      </c>
      <c r="K9" s="834"/>
      <c r="L9" s="24" t="s">
        <v>18</v>
      </c>
    </row>
    <row r="10" spans="1:19" s="66" customFormat="1" ht="13.5" customHeight="1" x14ac:dyDescent="0.2">
      <c r="A10" s="67">
        <v>1</v>
      </c>
      <c r="B10" s="841">
        <v>2</v>
      </c>
      <c r="C10" s="841"/>
      <c r="D10" s="841">
        <v>3</v>
      </c>
      <c r="E10" s="841"/>
      <c r="F10" s="841">
        <v>4</v>
      </c>
      <c r="G10" s="841"/>
      <c r="H10" s="841">
        <v>5</v>
      </c>
      <c r="I10" s="841"/>
      <c r="J10" s="841">
        <v>6</v>
      </c>
      <c r="K10" s="841"/>
      <c r="L10" s="67">
        <v>7</v>
      </c>
    </row>
    <row r="11" spans="1:19" x14ac:dyDescent="0.2">
      <c r="A11" s="3" t="s">
        <v>48</v>
      </c>
      <c r="B11" s="840">
        <v>1</v>
      </c>
      <c r="C11" s="840"/>
      <c r="D11" s="840">
        <v>141</v>
      </c>
      <c r="E11" s="840"/>
      <c r="F11" s="840">
        <v>44</v>
      </c>
      <c r="G11" s="840"/>
      <c r="H11" s="840">
        <v>29</v>
      </c>
      <c r="I11" s="840"/>
      <c r="J11" s="840">
        <v>1</v>
      </c>
      <c r="K11" s="840"/>
      <c r="L11" s="17">
        <f>SUM(B11:K11)</f>
        <v>216</v>
      </c>
    </row>
    <row r="12" spans="1:19" x14ac:dyDescent="0.2">
      <c r="A12" s="3" t="s">
        <v>49</v>
      </c>
      <c r="B12" s="840">
        <v>12272</v>
      </c>
      <c r="C12" s="840"/>
      <c r="D12" s="840">
        <v>28935</v>
      </c>
      <c r="E12" s="840"/>
      <c r="F12" s="840">
        <v>24997</v>
      </c>
      <c r="G12" s="840"/>
      <c r="H12" s="840">
        <v>7020</v>
      </c>
      <c r="I12" s="840"/>
      <c r="J12" s="840">
        <v>6151</v>
      </c>
      <c r="K12" s="840"/>
      <c r="L12" s="17">
        <f>SUM(B12:K12)</f>
        <v>79375</v>
      </c>
    </row>
    <row r="13" spans="1:19" x14ac:dyDescent="0.2">
      <c r="A13" s="3" t="s">
        <v>18</v>
      </c>
      <c r="B13" s="802">
        <f>SUM(B11:B12)</f>
        <v>12273</v>
      </c>
      <c r="C13" s="802"/>
      <c r="D13" s="802">
        <f>SUM(D11:D12)</f>
        <v>29076</v>
      </c>
      <c r="E13" s="802"/>
      <c r="F13" s="802">
        <f>SUM(F11:F12)</f>
        <v>25041</v>
      </c>
      <c r="G13" s="802"/>
      <c r="H13" s="802">
        <f>SUM(H11:H12)</f>
        <v>7049</v>
      </c>
      <c r="I13" s="802"/>
      <c r="J13" s="802">
        <f>SUM(J11:J12)</f>
        <v>6152</v>
      </c>
      <c r="K13" s="802"/>
      <c r="L13" s="3">
        <f>SUM(B13:K13)</f>
        <v>79591</v>
      </c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x14ac:dyDescent="0.2">
      <c r="A15" s="863" t="s">
        <v>424</v>
      </c>
      <c r="B15" s="863"/>
      <c r="C15" s="863"/>
      <c r="D15" s="863"/>
      <c r="E15" s="863"/>
      <c r="F15" s="863"/>
      <c r="G15" s="863"/>
      <c r="H15" s="11"/>
      <c r="I15" s="11"/>
      <c r="J15" s="11"/>
      <c r="K15" s="11"/>
      <c r="L15" s="11"/>
    </row>
    <row r="16" spans="1:19" ht="12.75" customHeight="1" x14ac:dyDescent="0.2">
      <c r="A16" s="808" t="s">
        <v>173</v>
      </c>
      <c r="B16" s="810"/>
      <c r="C16" s="817" t="s">
        <v>198</v>
      </c>
      <c r="D16" s="817"/>
      <c r="E16" s="3" t="s">
        <v>18</v>
      </c>
      <c r="I16" s="11"/>
      <c r="J16" s="11"/>
      <c r="K16" s="11"/>
      <c r="L16" s="11"/>
    </row>
    <row r="17" spans="1:20" x14ac:dyDescent="0.2">
      <c r="A17" s="847">
        <v>600</v>
      </c>
      <c r="B17" s="848"/>
      <c r="C17" s="847">
        <v>900</v>
      </c>
      <c r="D17" s="848"/>
      <c r="E17" s="285">
        <v>1500</v>
      </c>
      <c r="I17" s="11"/>
      <c r="J17" s="11"/>
      <c r="K17" s="11"/>
      <c r="L17" s="11"/>
    </row>
    <row r="18" spans="1:20" x14ac:dyDescent="0.2">
      <c r="A18" s="798"/>
      <c r="B18" s="800"/>
      <c r="C18" s="798"/>
      <c r="D18" s="800"/>
      <c r="E18" s="3"/>
      <c r="I18" s="11"/>
      <c r="J18" s="11"/>
      <c r="K18" s="11"/>
      <c r="L18" s="11"/>
    </row>
    <row r="19" spans="1:20" x14ac:dyDescent="0.2">
      <c r="A19" s="221"/>
      <c r="B19" s="221"/>
      <c r="C19" s="221"/>
      <c r="D19" s="221"/>
      <c r="E19" s="221"/>
      <c r="F19" s="221"/>
      <c r="G19" s="221"/>
      <c r="H19" s="11"/>
      <c r="I19" s="11"/>
      <c r="J19" s="11"/>
      <c r="K19" s="11"/>
      <c r="L19" s="11"/>
    </row>
    <row r="21" spans="1:20" ht="19.149999999999999" customHeight="1" x14ac:dyDescent="0.2">
      <c r="A21" s="842" t="s">
        <v>165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2"/>
    </row>
    <row r="22" spans="1:20" x14ac:dyDescent="0.2">
      <c r="A22" s="834" t="s">
        <v>25</v>
      </c>
      <c r="B22" s="834" t="s">
        <v>50</v>
      </c>
      <c r="C22" s="834"/>
      <c r="D22" s="834"/>
      <c r="E22" s="846" t="s">
        <v>26</v>
      </c>
      <c r="F22" s="846"/>
      <c r="G22" s="846"/>
      <c r="H22" s="846"/>
      <c r="I22" s="846"/>
      <c r="J22" s="846"/>
      <c r="K22" s="846"/>
      <c r="L22" s="846"/>
      <c r="M22" s="802" t="s">
        <v>27</v>
      </c>
      <c r="N22" s="802"/>
      <c r="O22" s="802"/>
      <c r="P22" s="802"/>
      <c r="Q22" s="802"/>
      <c r="R22" s="802"/>
      <c r="S22" s="802"/>
      <c r="T22" s="802"/>
    </row>
    <row r="23" spans="1:20" ht="33.75" customHeight="1" x14ac:dyDescent="0.2">
      <c r="A23" s="834"/>
      <c r="B23" s="834"/>
      <c r="C23" s="834"/>
      <c r="D23" s="834"/>
      <c r="E23" s="827" t="s">
        <v>128</v>
      </c>
      <c r="F23" s="829"/>
      <c r="G23" s="827" t="s">
        <v>166</v>
      </c>
      <c r="H23" s="829"/>
      <c r="I23" s="834" t="s">
        <v>51</v>
      </c>
      <c r="J23" s="834"/>
      <c r="K23" s="827" t="s">
        <v>96</v>
      </c>
      <c r="L23" s="829"/>
      <c r="M23" s="827" t="s">
        <v>97</v>
      </c>
      <c r="N23" s="829"/>
      <c r="O23" s="827" t="s">
        <v>166</v>
      </c>
      <c r="P23" s="829"/>
      <c r="Q23" s="834" t="s">
        <v>51</v>
      </c>
      <c r="R23" s="834"/>
      <c r="S23" s="834" t="s">
        <v>96</v>
      </c>
      <c r="T23" s="834"/>
    </row>
    <row r="24" spans="1:20" s="66" customFormat="1" ht="15.75" customHeight="1" x14ac:dyDescent="0.2">
      <c r="A24" s="67">
        <v>1</v>
      </c>
      <c r="B24" s="835">
        <v>2</v>
      </c>
      <c r="C24" s="862"/>
      <c r="D24" s="836"/>
      <c r="E24" s="835">
        <v>3</v>
      </c>
      <c r="F24" s="836"/>
      <c r="G24" s="835">
        <v>4</v>
      </c>
      <c r="H24" s="836"/>
      <c r="I24" s="841">
        <v>5</v>
      </c>
      <c r="J24" s="841"/>
      <c r="K24" s="841">
        <v>6</v>
      </c>
      <c r="L24" s="841"/>
      <c r="M24" s="835">
        <v>3</v>
      </c>
      <c r="N24" s="836"/>
      <c r="O24" s="835">
        <v>4</v>
      </c>
      <c r="P24" s="836"/>
      <c r="Q24" s="841">
        <v>5</v>
      </c>
      <c r="R24" s="841"/>
      <c r="S24" s="841">
        <v>6</v>
      </c>
      <c r="T24" s="841"/>
    </row>
    <row r="25" spans="1:20" ht="27.75" customHeight="1" x14ac:dyDescent="0.2">
      <c r="A25" s="65">
        <v>1</v>
      </c>
      <c r="B25" s="843" t="s">
        <v>481</v>
      </c>
      <c r="C25" s="844"/>
      <c r="D25" s="845"/>
      <c r="E25" s="822">
        <v>100</v>
      </c>
      <c r="F25" s="823"/>
      <c r="G25" s="798" t="s">
        <v>352</v>
      </c>
      <c r="H25" s="800"/>
      <c r="I25" s="805">
        <v>340</v>
      </c>
      <c r="J25" s="805"/>
      <c r="K25" s="805">
        <v>8</v>
      </c>
      <c r="L25" s="805"/>
      <c r="M25" s="822">
        <v>150</v>
      </c>
      <c r="N25" s="823"/>
      <c r="O25" s="798" t="s">
        <v>352</v>
      </c>
      <c r="P25" s="800"/>
      <c r="Q25" s="805">
        <v>510</v>
      </c>
      <c r="R25" s="805"/>
      <c r="S25" s="805">
        <v>12</v>
      </c>
      <c r="T25" s="805"/>
    </row>
    <row r="26" spans="1:20" x14ac:dyDescent="0.2">
      <c r="A26" s="65">
        <v>2</v>
      </c>
      <c r="B26" s="837" t="s">
        <v>52</v>
      </c>
      <c r="C26" s="838"/>
      <c r="D26" s="839"/>
      <c r="E26" s="822">
        <v>20</v>
      </c>
      <c r="F26" s="823"/>
      <c r="G26" s="822">
        <v>1.37</v>
      </c>
      <c r="H26" s="823"/>
      <c r="I26" s="805">
        <v>70</v>
      </c>
      <c r="J26" s="805"/>
      <c r="K26" s="805">
        <v>5</v>
      </c>
      <c r="L26" s="805"/>
      <c r="M26" s="822">
        <v>30</v>
      </c>
      <c r="N26" s="823"/>
      <c r="O26" s="822">
        <v>2.06</v>
      </c>
      <c r="P26" s="823">
        <v>2.0014563106796115</v>
      </c>
      <c r="Q26" s="805">
        <v>105</v>
      </c>
      <c r="R26" s="805"/>
      <c r="S26" s="805">
        <v>7.5</v>
      </c>
      <c r="T26" s="805"/>
    </row>
    <row r="27" spans="1:20" x14ac:dyDescent="0.2">
      <c r="A27" s="65">
        <v>3</v>
      </c>
      <c r="B27" s="837" t="s">
        <v>167</v>
      </c>
      <c r="C27" s="838"/>
      <c r="D27" s="839"/>
      <c r="E27" s="822">
        <v>50</v>
      </c>
      <c r="F27" s="823"/>
      <c r="G27" s="822">
        <v>1.03</v>
      </c>
      <c r="H27" s="823"/>
      <c r="I27" s="805">
        <v>25</v>
      </c>
      <c r="J27" s="805"/>
      <c r="K27" s="805">
        <v>0</v>
      </c>
      <c r="L27" s="805"/>
      <c r="M27" s="822">
        <v>75</v>
      </c>
      <c r="N27" s="823"/>
      <c r="O27" s="822">
        <v>1.55</v>
      </c>
      <c r="P27" s="823">
        <v>1.5063592233009708</v>
      </c>
      <c r="Q27" s="805">
        <v>37</v>
      </c>
      <c r="R27" s="805"/>
      <c r="S27" s="805">
        <v>0</v>
      </c>
      <c r="T27" s="805"/>
    </row>
    <row r="28" spans="1:20" x14ac:dyDescent="0.2">
      <c r="A28" s="65">
        <v>4</v>
      </c>
      <c r="B28" s="837" t="s">
        <v>53</v>
      </c>
      <c r="C28" s="838"/>
      <c r="D28" s="839"/>
      <c r="E28" s="822">
        <v>5</v>
      </c>
      <c r="F28" s="823"/>
      <c r="G28" s="822">
        <v>0.65</v>
      </c>
      <c r="H28" s="823"/>
      <c r="I28" s="805">
        <v>45</v>
      </c>
      <c r="J28" s="805"/>
      <c r="K28" s="805">
        <v>0</v>
      </c>
      <c r="L28" s="805"/>
      <c r="M28" s="822">
        <v>7.5</v>
      </c>
      <c r="N28" s="823"/>
      <c r="O28" s="822">
        <v>0.98</v>
      </c>
      <c r="P28" s="823">
        <v>0.94805825242718456</v>
      </c>
      <c r="Q28" s="805">
        <v>68</v>
      </c>
      <c r="R28" s="805"/>
      <c r="S28" s="805">
        <v>0</v>
      </c>
      <c r="T28" s="805"/>
    </row>
    <row r="29" spans="1:20" x14ac:dyDescent="0.2">
      <c r="A29" s="65">
        <v>5</v>
      </c>
      <c r="B29" s="837" t="s">
        <v>54</v>
      </c>
      <c r="C29" s="838"/>
      <c r="D29" s="839"/>
      <c r="E29" s="822">
        <v>0</v>
      </c>
      <c r="F29" s="823"/>
      <c r="G29" s="822">
        <v>0.79</v>
      </c>
      <c r="H29" s="823"/>
      <c r="I29" s="805">
        <v>0</v>
      </c>
      <c r="J29" s="805"/>
      <c r="K29" s="805">
        <v>0</v>
      </c>
      <c r="L29" s="805"/>
      <c r="M29" s="822">
        <v>0</v>
      </c>
      <c r="N29" s="823"/>
      <c r="O29" s="822">
        <v>1.18</v>
      </c>
      <c r="P29" s="823">
        <v>1.1376699029126216</v>
      </c>
      <c r="Q29" s="805">
        <v>0</v>
      </c>
      <c r="R29" s="805"/>
      <c r="S29" s="805">
        <v>0</v>
      </c>
      <c r="T29" s="805"/>
    </row>
    <row r="30" spans="1:20" x14ac:dyDescent="0.2">
      <c r="A30" s="65">
        <v>6</v>
      </c>
      <c r="B30" s="837" t="s">
        <v>55</v>
      </c>
      <c r="C30" s="838"/>
      <c r="D30" s="839"/>
      <c r="E30" s="822">
        <v>0</v>
      </c>
      <c r="F30" s="823"/>
      <c r="G30" s="822">
        <v>0.64</v>
      </c>
      <c r="H30" s="823"/>
      <c r="I30" s="805">
        <v>0</v>
      </c>
      <c r="J30" s="805"/>
      <c r="K30" s="805">
        <v>0</v>
      </c>
      <c r="L30" s="805"/>
      <c r="M30" s="822">
        <v>0</v>
      </c>
      <c r="N30" s="823"/>
      <c r="O30" s="822">
        <v>0.94</v>
      </c>
      <c r="P30" s="823">
        <v>0.91645631067961153</v>
      </c>
      <c r="Q30" s="805">
        <v>0</v>
      </c>
      <c r="R30" s="805"/>
      <c r="S30" s="805">
        <v>0</v>
      </c>
      <c r="T30" s="805"/>
    </row>
    <row r="31" spans="1:20" x14ac:dyDescent="0.2">
      <c r="A31" s="65">
        <v>7</v>
      </c>
      <c r="B31" s="861" t="s">
        <v>168</v>
      </c>
      <c r="C31" s="861"/>
      <c r="D31" s="861"/>
      <c r="E31" s="805">
        <v>0</v>
      </c>
      <c r="F31" s="805"/>
      <c r="G31" s="805">
        <v>0</v>
      </c>
      <c r="H31" s="805"/>
      <c r="I31" s="805">
        <v>0</v>
      </c>
      <c r="J31" s="805"/>
      <c r="K31" s="805">
        <v>0</v>
      </c>
      <c r="L31" s="805"/>
      <c r="M31" s="805">
        <v>0</v>
      </c>
      <c r="N31" s="805"/>
      <c r="O31" s="805">
        <v>0</v>
      </c>
      <c r="P31" s="805">
        <v>0</v>
      </c>
      <c r="Q31" s="805">
        <v>0</v>
      </c>
      <c r="R31" s="805"/>
      <c r="S31" s="805">
        <v>0</v>
      </c>
      <c r="T31" s="805"/>
    </row>
    <row r="32" spans="1:20" x14ac:dyDescent="0.2">
      <c r="A32" s="65"/>
      <c r="B32" s="834" t="s">
        <v>18</v>
      </c>
      <c r="C32" s="834"/>
      <c r="D32" s="834"/>
      <c r="E32" s="801">
        <f>SUM(E25:E31)</f>
        <v>175</v>
      </c>
      <c r="F32" s="802"/>
      <c r="G32" s="801">
        <f>SUM(G25:G31)</f>
        <v>4.4800000000000004</v>
      </c>
      <c r="H32" s="802"/>
      <c r="I32" s="801">
        <f>SUM(I25:I31)</f>
        <v>480</v>
      </c>
      <c r="J32" s="802"/>
      <c r="K32" s="801">
        <f>SUM(K25:K31)</f>
        <v>13</v>
      </c>
      <c r="L32" s="802"/>
      <c r="M32" s="801">
        <f>SUM(M25:M31)</f>
        <v>262.5</v>
      </c>
      <c r="N32" s="802"/>
      <c r="O32" s="801">
        <f>SUM(O25:O31)</f>
        <v>6.7099999999999991</v>
      </c>
      <c r="P32" s="802"/>
      <c r="Q32" s="801">
        <f>SUM(Q25:Q31)</f>
        <v>720</v>
      </c>
      <c r="R32" s="802"/>
      <c r="S32" s="801">
        <f>SUM(S25:S31)</f>
        <v>19.5</v>
      </c>
      <c r="T32" s="802"/>
    </row>
    <row r="33" spans="1:21" x14ac:dyDescent="0.2">
      <c r="A33" s="103"/>
      <c r="B33" s="104"/>
      <c r="C33" s="104"/>
      <c r="D33" s="10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1" ht="12.75" customHeight="1" x14ac:dyDescent="0.2">
      <c r="A34" s="223" t="s">
        <v>404</v>
      </c>
      <c r="B34" s="806" t="s">
        <v>457</v>
      </c>
      <c r="C34" s="806"/>
      <c r="D34" s="806"/>
      <c r="E34" s="806"/>
      <c r="F34" s="806"/>
      <c r="G34" s="806"/>
      <c r="H34" s="80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1" x14ac:dyDescent="0.2">
      <c r="A35" s="223"/>
      <c r="B35" s="104"/>
      <c r="C35" s="104"/>
      <c r="D35" s="10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1" s="28" customFormat="1" ht="17.25" customHeight="1" x14ac:dyDescent="0.2">
      <c r="A36" s="2" t="s">
        <v>25</v>
      </c>
      <c r="B36" s="855" t="s">
        <v>405</v>
      </c>
      <c r="C36" s="856"/>
      <c r="D36" s="857"/>
      <c r="E36" s="827" t="s">
        <v>26</v>
      </c>
      <c r="F36" s="828"/>
      <c r="G36" s="828"/>
      <c r="H36" s="828"/>
      <c r="I36" s="828"/>
      <c r="J36" s="829"/>
      <c r="K36" s="802" t="s">
        <v>27</v>
      </c>
      <c r="L36" s="802"/>
      <c r="M36" s="802"/>
      <c r="N36" s="802"/>
      <c r="O36" s="802"/>
      <c r="P36" s="802"/>
      <c r="Q36" s="840" t="s">
        <v>78</v>
      </c>
      <c r="R36" s="840"/>
      <c r="S36" s="807"/>
      <c r="T36" s="807"/>
    </row>
    <row r="37" spans="1:21" x14ac:dyDescent="0.2">
      <c r="A37" s="4"/>
      <c r="B37" s="858"/>
      <c r="C37" s="859"/>
      <c r="D37" s="860"/>
      <c r="E37" s="798" t="s">
        <v>421</v>
      </c>
      <c r="F37" s="800"/>
      <c r="G37" s="798" t="s">
        <v>422</v>
      </c>
      <c r="H37" s="800"/>
      <c r="I37" s="798" t="s">
        <v>423</v>
      </c>
      <c r="J37" s="800"/>
      <c r="K37" s="802" t="s">
        <v>421</v>
      </c>
      <c r="L37" s="802"/>
      <c r="M37" s="802" t="s">
        <v>422</v>
      </c>
      <c r="N37" s="802"/>
      <c r="O37" s="802" t="s">
        <v>423</v>
      </c>
      <c r="P37" s="802"/>
      <c r="Q37" s="840"/>
      <c r="R37" s="840"/>
      <c r="S37" s="11"/>
      <c r="T37" s="11"/>
    </row>
    <row r="38" spans="1:21" ht="66" customHeight="1" x14ac:dyDescent="0.2">
      <c r="A38" s="65">
        <v>1</v>
      </c>
      <c r="B38" s="824" t="s">
        <v>932</v>
      </c>
      <c r="C38" s="824"/>
      <c r="D38" s="824"/>
      <c r="E38" s="826">
        <v>1</v>
      </c>
      <c r="F38" s="826"/>
      <c r="G38" s="825" t="s">
        <v>933</v>
      </c>
      <c r="H38" s="825"/>
      <c r="I38" s="825" t="s">
        <v>937</v>
      </c>
      <c r="J38" s="825"/>
      <c r="K38" s="826">
        <v>1</v>
      </c>
      <c r="L38" s="826"/>
      <c r="M38" s="825" t="s">
        <v>933</v>
      </c>
      <c r="N38" s="825"/>
      <c r="O38" s="825" t="s">
        <v>937</v>
      </c>
      <c r="P38" s="825"/>
      <c r="Q38" s="814" t="s">
        <v>938</v>
      </c>
      <c r="R38" s="815"/>
      <c r="S38" s="11"/>
      <c r="T38" s="11"/>
    </row>
    <row r="39" spans="1:21" x14ac:dyDescent="0.2">
      <c r="U39" s="14" t="s">
        <v>10</v>
      </c>
    </row>
    <row r="41" spans="1:21" ht="13.9" customHeight="1" x14ac:dyDescent="0.2">
      <c r="A41" s="816" t="s">
        <v>178</v>
      </c>
      <c r="B41" s="816"/>
      <c r="C41" s="816"/>
      <c r="D41" s="816"/>
      <c r="E41" s="816"/>
      <c r="F41" s="816"/>
      <c r="G41" s="816"/>
      <c r="H41" s="816"/>
      <c r="I41" s="816"/>
    </row>
    <row r="42" spans="1:21" ht="15" customHeight="1" x14ac:dyDescent="0.2">
      <c r="A42" s="802" t="s">
        <v>58</v>
      </c>
      <c r="B42" s="802" t="s">
        <v>26</v>
      </c>
      <c r="C42" s="802"/>
      <c r="D42" s="802"/>
      <c r="E42" s="817" t="s">
        <v>27</v>
      </c>
      <c r="F42" s="817"/>
      <c r="G42" s="817"/>
      <c r="H42" s="818" t="s">
        <v>141</v>
      </c>
      <c r="I42" s="15"/>
      <c r="J42" s="830" t="s">
        <v>58</v>
      </c>
      <c r="K42" s="831"/>
      <c r="L42" s="798" t="s">
        <v>26</v>
      </c>
      <c r="M42" s="799"/>
      <c r="N42" s="800"/>
      <c r="O42" s="808" t="s">
        <v>27</v>
      </c>
      <c r="P42" s="809"/>
      <c r="Q42" s="810"/>
      <c r="R42" s="5" t="s">
        <v>141</v>
      </c>
      <c r="S42" s="11"/>
      <c r="T42" s="11"/>
    </row>
    <row r="43" spans="1:21" ht="15.75" customHeight="1" x14ac:dyDescent="0.2">
      <c r="A43" s="802"/>
      <c r="B43" s="3" t="s">
        <v>169</v>
      </c>
      <c r="C43" s="268" t="s">
        <v>103</v>
      </c>
      <c r="D43" s="3" t="s">
        <v>18</v>
      </c>
      <c r="E43" s="3" t="s">
        <v>169</v>
      </c>
      <c r="F43" s="268" t="s">
        <v>103</v>
      </c>
      <c r="G43" s="3" t="s">
        <v>18</v>
      </c>
      <c r="H43" s="819"/>
      <c r="I43" s="15"/>
      <c r="J43" s="832"/>
      <c r="K43" s="833"/>
      <c r="L43" s="3" t="s">
        <v>169</v>
      </c>
      <c r="M43" s="268" t="s">
        <v>103</v>
      </c>
      <c r="N43" s="3" t="s">
        <v>18</v>
      </c>
      <c r="O43" s="3" t="s">
        <v>169</v>
      </c>
      <c r="P43" s="268" t="s">
        <v>103</v>
      </c>
      <c r="Q43" s="3" t="s">
        <v>18</v>
      </c>
      <c r="R43" s="5"/>
      <c r="S43" s="11"/>
      <c r="T43" s="11"/>
    </row>
    <row r="44" spans="1:21" s="292" customFormat="1" ht="51" x14ac:dyDescent="0.2">
      <c r="A44" s="286" t="s">
        <v>847</v>
      </c>
      <c r="B44" s="287">
        <v>2.69</v>
      </c>
      <c r="C44" s="287">
        <v>1.79</v>
      </c>
      <c r="D44" s="287">
        <f>SUM(B44:C44)</f>
        <v>4.4800000000000004</v>
      </c>
      <c r="E44" s="287">
        <v>4.03</v>
      </c>
      <c r="F44" s="287">
        <v>2.68</v>
      </c>
      <c r="G44" s="287">
        <f>SUM(E44:F44)</f>
        <v>6.7100000000000009</v>
      </c>
      <c r="H44" s="288" t="s">
        <v>936</v>
      </c>
      <c r="I44" s="289"/>
      <c r="J44" s="811" t="s">
        <v>934</v>
      </c>
      <c r="K44" s="812"/>
      <c r="L44" s="290">
        <v>2.69</v>
      </c>
      <c r="M44" s="290">
        <v>7.79</v>
      </c>
      <c r="N44" s="290">
        <f>SUM(L44:M44)</f>
        <v>10.48</v>
      </c>
      <c r="O44" s="290">
        <v>4.03</v>
      </c>
      <c r="P44" s="290">
        <v>8.68</v>
      </c>
      <c r="Q44" s="290">
        <f>SUM(O44:P44)</f>
        <v>12.71</v>
      </c>
      <c r="R44" s="288" t="s">
        <v>936</v>
      </c>
      <c r="S44" s="291"/>
      <c r="T44" s="291"/>
    </row>
    <row r="45" spans="1:21" s="292" customFormat="1" ht="30" customHeight="1" x14ac:dyDescent="0.2">
      <c r="A45" s="286" t="s">
        <v>741</v>
      </c>
      <c r="B45" s="287">
        <v>2.89</v>
      </c>
      <c r="C45" s="287">
        <v>1.92</v>
      </c>
      <c r="D45" s="287">
        <f>SUM(B45:C45)</f>
        <v>4.8100000000000005</v>
      </c>
      <c r="E45" s="287">
        <v>4.33</v>
      </c>
      <c r="F45" s="287">
        <v>2.88</v>
      </c>
      <c r="G45" s="287">
        <f>SUM(E45:F45)</f>
        <v>7.21</v>
      </c>
      <c r="H45" s="293" t="s">
        <v>170</v>
      </c>
      <c r="I45" s="289"/>
      <c r="J45" s="811" t="s">
        <v>935</v>
      </c>
      <c r="K45" s="812"/>
      <c r="L45" s="290">
        <v>2.89</v>
      </c>
      <c r="M45" s="290">
        <v>7.92</v>
      </c>
      <c r="N45" s="290">
        <f>SUM(L45:M45)</f>
        <v>10.81</v>
      </c>
      <c r="O45" s="290">
        <v>4.33</v>
      </c>
      <c r="P45" s="290">
        <v>8.8800000000000008</v>
      </c>
      <c r="Q45" s="290">
        <f>SUM(O45:P45)</f>
        <v>13.21</v>
      </c>
      <c r="R45" s="293" t="s">
        <v>170</v>
      </c>
      <c r="S45" s="291"/>
      <c r="T45" s="291"/>
    </row>
    <row r="46" spans="1:21" ht="15" customHeight="1" x14ac:dyDescent="0.2">
      <c r="A46" s="813" t="s">
        <v>225</v>
      </c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</row>
    <row r="47" spans="1:21" ht="15" x14ac:dyDescent="0.25">
      <c r="A47" s="294"/>
      <c r="B47" s="295">
        <f t="shared" ref="B47:G47" si="0">7.5/100*B44</f>
        <v>0.20174999999999998</v>
      </c>
      <c r="C47" s="295">
        <f t="shared" si="0"/>
        <v>0.13425000000000001</v>
      </c>
      <c r="D47" s="295">
        <f t="shared" si="0"/>
        <v>0.33600000000000002</v>
      </c>
      <c r="E47" s="295">
        <f t="shared" si="0"/>
        <v>0.30225000000000002</v>
      </c>
      <c r="F47" s="295">
        <f t="shared" si="0"/>
        <v>0.20100000000000001</v>
      </c>
      <c r="G47" s="295">
        <f t="shared" si="0"/>
        <v>0.50325000000000009</v>
      </c>
      <c r="H47" s="222"/>
      <c r="I47"/>
    </row>
    <row r="48" spans="1:21" ht="15" x14ac:dyDescent="0.25">
      <c r="A48" s="296"/>
      <c r="B48" s="297">
        <f t="shared" ref="B48:G48" si="1">B44+B47</f>
        <v>2.89175</v>
      </c>
      <c r="C48" s="297">
        <f t="shared" si="1"/>
        <v>1.92425</v>
      </c>
      <c r="D48" s="297">
        <f t="shared" si="1"/>
        <v>4.8160000000000007</v>
      </c>
      <c r="E48" s="297">
        <f t="shared" si="1"/>
        <v>4.3322500000000002</v>
      </c>
      <c r="F48" s="297">
        <f t="shared" si="1"/>
        <v>2.8810000000000002</v>
      </c>
      <c r="G48" s="297">
        <f t="shared" si="1"/>
        <v>7.2132500000000013</v>
      </c>
      <c r="H48" s="222"/>
      <c r="I48"/>
    </row>
    <row r="49" spans="1:19" x14ac:dyDescent="0.2">
      <c r="A49" s="298"/>
      <c r="B49" s="298"/>
      <c r="C49" s="298"/>
      <c r="D49" s="298"/>
      <c r="E49" s="298"/>
      <c r="F49" s="298"/>
      <c r="G49" s="298"/>
    </row>
    <row r="51" spans="1:19" s="15" customFormat="1" ht="12.75" customHeight="1" x14ac:dyDescent="0.2">
      <c r="A51" s="14" t="s">
        <v>11</v>
      </c>
      <c r="B51" s="14"/>
      <c r="C51" s="14"/>
      <c r="D51" s="14"/>
      <c r="E51" s="14"/>
      <c r="F51" s="14"/>
      <c r="G51" s="14"/>
      <c r="I51" s="14"/>
      <c r="O51" s="803" t="s">
        <v>12</v>
      </c>
      <c r="P51" s="803"/>
      <c r="Q51" s="804"/>
    </row>
    <row r="52" spans="1:19" s="15" customFormat="1" ht="12.75" customHeight="1" x14ac:dyDescent="0.2">
      <c r="A52" s="803" t="s">
        <v>13</v>
      </c>
      <c r="B52" s="803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</row>
    <row r="53" spans="1:19" s="15" customFormat="1" ht="13.15" customHeight="1" x14ac:dyDescent="0.2">
      <c r="A53" s="821" t="s">
        <v>92</v>
      </c>
      <c r="B53" s="821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</row>
    <row r="54" spans="1:19" ht="12.75" customHeight="1" x14ac:dyDescent="0.2">
      <c r="N54" s="820" t="s">
        <v>84</v>
      </c>
      <c r="O54" s="820"/>
      <c r="P54" s="820"/>
      <c r="Q54" s="820"/>
    </row>
  </sheetData>
  <mergeCells count="168">
    <mergeCell ref="I28:J28"/>
    <mergeCell ref="B28:D28"/>
    <mergeCell ref="B36:D37"/>
    <mergeCell ref="B31:D31"/>
    <mergeCell ref="E32:F32"/>
    <mergeCell ref="G30:H30"/>
    <mergeCell ref="I30:J30"/>
    <mergeCell ref="G29:H29"/>
    <mergeCell ref="D10:E10"/>
    <mergeCell ref="F10:G10"/>
    <mergeCell ref="H10:I10"/>
    <mergeCell ref="B24:D24"/>
    <mergeCell ref="A15:G15"/>
    <mergeCell ref="C16:D16"/>
    <mergeCell ref="A16:B16"/>
    <mergeCell ref="B10:C10"/>
    <mergeCell ref="E23:F23"/>
    <mergeCell ref="I24:J24"/>
    <mergeCell ref="J10:K10"/>
    <mergeCell ref="J12:K12"/>
    <mergeCell ref="A17:B17"/>
    <mergeCell ref="D11:E11"/>
    <mergeCell ref="F11:G11"/>
    <mergeCell ref="H11:I11"/>
    <mergeCell ref="F13:G13"/>
    <mergeCell ref="D13:E13"/>
    <mergeCell ref="C17:D17"/>
    <mergeCell ref="B12:C12"/>
    <mergeCell ref="H13:I13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H12:I12"/>
    <mergeCell ref="D12:E12"/>
    <mergeCell ref="F12:G12"/>
    <mergeCell ref="B13:C13"/>
    <mergeCell ref="B11:C11"/>
    <mergeCell ref="J13:K13"/>
    <mergeCell ref="J11:K11"/>
    <mergeCell ref="S23:T23"/>
    <mergeCell ref="E26:F26"/>
    <mergeCell ref="G26:H26"/>
    <mergeCell ref="I25:J25"/>
    <mergeCell ref="I23:J23"/>
    <mergeCell ref="O23:P23"/>
    <mergeCell ref="K24:L24"/>
    <mergeCell ref="K25:L25"/>
    <mergeCell ref="A21:S21"/>
    <mergeCell ref="Q24:R24"/>
    <mergeCell ref="S24:T24"/>
    <mergeCell ref="M23:N23"/>
    <mergeCell ref="K23:L23"/>
    <mergeCell ref="M22:T22"/>
    <mergeCell ref="Q23:R23"/>
    <mergeCell ref="B22:D23"/>
    <mergeCell ref="G24:H24"/>
    <mergeCell ref="G25:H25"/>
    <mergeCell ref="B26:D26"/>
    <mergeCell ref="I26:J26"/>
    <mergeCell ref="B25:D25"/>
    <mergeCell ref="Q25:R25"/>
    <mergeCell ref="E22:L22"/>
    <mergeCell ref="M26:N26"/>
    <mergeCell ref="B29:D29"/>
    <mergeCell ref="G37:H37"/>
    <mergeCell ref="E37:F37"/>
    <mergeCell ref="Q26:R26"/>
    <mergeCell ref="E25:F25"/>
    <mergeCell ref="O26:P26"/>
    <mergeCell ref="K26:L26"/>
    <mergeCell ref="B32:D32"/>
    <mergeCell ref="M25:N25"/>
    <mergeCell ref="O25:P25"/>
    <mergeCell ref="M27:N27"/>
    <mergeCell ref="M32:N32"/>
    <mergeCell ref="E27:F27"/>
    <mergeCell ref="G27:H27"/>
    <mergeCell ref="B27:D27"/>
    <mergeCell ref="I27:J27"/>
    <mergeCell ref="K27:L27"/>
    <mergeCell ref="M30:N30"/>
    <mergeCell ref="O30:P30"/>
    <mergeCell ref="Q30:R30"/>
    <mergeCell ref="M28:N28"/>
    <mergeCell ref="K30:L30"/>
    <mergeCell ref="Q36:R37"/>
    <mergeCell ref="B30:D30"/>
    <mergeCell ref="A18:B18"/>
    <mergeCell ref="A22:A23"/>
    <mergeCell ref="S28:T28"/>
    <mergeCell ref="Q28:R28"/>
    <mergeCell ref="S26:T26"/>
    <mergeCell ref="O28:P28"/>
    <mergeCell ref="K28:L28"/>
    <mergeCell ref="Q27:R27"/>
    <mergeCell ref="S29:T29"/>
    <mergeCell ref="E24:F24"/>
    <mergeCell ref="C18:D18"/>
    <mergeCell ref="M29:N29"/>
    <mergeCell ref="O29:P29"/>
    <mergeCell ref="M24:N24"/>
    <mergeCell ref="O24:P24"/>
    <mergeCell ref="G23:H23"/>
    <mergeCell ref="E29:F29"/>
    <mergeCell ref="E28:F28"/>
    <mergeCell ref="G28:H28"/>
    <mergeCell ref="S25:T25"/>
    <mergeCell ref="I29:J29"/>
    <mergeCell ref="O27:P27"/>
    <mergeCell ref="S27:T27"/>
    <mergeCell ref="K29:L29"/>
    <mergeCell ref="Q29:R29"/>
    <mergeCell ref="N54:Q54"/>
    <mergeCell ref="A53:S53"/>
    <mergeCell ref="S30:T30"/>
    <mergeCell ref="K32:L32"/>
    <mergeCell ref="E30:F30"/>
    <mergeCell ref="I31:J31"/>
    <mergeCell ref="G32:H32"/>
    <mergeCell ref="G31:H31"/>
    <mergeCell ref="K36:P36"/>
    <mergeCell ref="K37:L37"/>
    <mergeCell ref="B38:D38"/>
    <mergeCell ref="G38:H38"/>
    <mergeCell ref="I38:J38"/>
    <mergeCell ref="E38:F38"/>
    <mergeCell ref="O38:P38"/>
    <mergeCell ref="M38:N38"/>
    <mergeCell ref="M37:N37"/>
    <mergeCell ref="O37:P37"/>
    <mergeCell ref="K38:L38"/>
    <mergeCell ref="E36:J36"/>
    <mergeCell ref="O31:P31"/>
    <mergeCell ref="K31:L31"/>
    <mergeCell ref="J42:K43"/>
    <mergeCell ref="L42:N42"/>
    <mergeCell ref="S32:T32"/>
    <mergeCell ref="O32:P32"/>
    <mergeCell ref="Q32:R32"/>
    <mergeCell ref="O51:Q51"/>
    <mergeCell ref="A52:Q52"/>
    <mergeCell ref="E31:F31"/>
    <mergeCell ref="B34:H34"/>
    <mergeCell ref="S36:T36"/>
    <mergeCell ref="I37:J37"/>
    <mergeCell ref="I32:J32"/>
    <mergeCell ref="M31:N31"/>
    <mergeCell ref="Q31:R31"/>
    <mergeCell ref="S31:T31"/>
    <mergeCell ref="O42:Q42"/>
    <mergeCell ref="J44:K44"/>
    <mergeCell ref="J45:K45"/>
    <mergeCell ref="A46:T46"/>
    <mergeCell ref="Q38:R38"/>
    <mergeCell ref="A41:I41"/>
    <mergeCell ref="A42:A43"/>
    <mergeCell ref="B42:D42"/>
    <mergeCell ref="E42:G42"/>
    <mergeCell ref="H42:H43"/>
  </mergeCells>
  <phoneticPr fontId="0" type="noConversion"/>
  <printOptions horizontalCentered="1"/>
  <pageMargins left="0.54" right="0.34" top="0.23622047244094491" bottom="0" header="0.31496062992125984" footer="0.31496062992125984"/>
  <pageSetup paperSize="9" scale="6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Q41"/>
  <sheetViews>
    <sheetView topLeftCell="A10" zoomScaleNormal="100" zoomScaleSheetLayoutView="100" workbookViewId="0">
      <selection activeCell="C29" sqref="C29"/>
    </sheetView>
  </sheetViews>
  <sheetFormatPr defaultColWidth="9.140625" defaultRowHeight="12.75" x14ac:dyDescent="0.2"/>
  <cols>
    <col min="1" max="1" width="7.140625" style="469" customWidth="1"/>
    <col min="2" max="2" width="14.85546875" style="469" customWidth="1"/>
    <col min="3" max="3" width="14.5703125" style="469" customWidth="1"/>
    <col min="4" max="4" width="16.5703125" style="469" customWidth="1"/>
    <col min="5" max="8" width="18.42578125" style="469" customWidth="1"/>
    <col min="9" max="11" width="0" style="469" hidden="1" customWidth="1"/>
    <col min="12" max="12" width="10.5703125" style="469" hidden="1" customWidth="1"/>
    <col min="13" max="17" width="0" style="469" hidden="1" customWidth="1"/>
    <col min="18" max="16384" width="9.140625" style="469"/>
  </cols>
  <sheetData>
    <row r="1" spans="1:17" x14ac:dyDescent="0.2">
      <c r="H1" s="470" t="s">
        <v>510</v>
      </c>
    </row>
    <row r="2" spans="1:17" ht="18" x14ac:dyDescent="0.35">
      <c r="A2" s="1035" t="s">
        <v>0</v>
      </c>
      <c r="B2" s="1035"/>
      <c r="C2" s="1035"/>
      <c r="D2" s="1035"/>
      <c r="E2" s="1035"/>
      <c r="F2" s="1035"/>
      <c r="G2" s="1035"/>
      <c r="H2" s="1035"/>
      <c r="I2" s="471"/>
      <c r="J2" s="471"/>
      <c r="K2" s="471"/>
      <c r="L2" s="471"/>
      <c r="M2" s="471"/>
      <c r="N2" s="471"/>
      <c r="O2" s="471"/>
    </row>
    <row r="3" spans="1:17" ht="21" x14ac:dyDescent="0.35">
      <c r="A3" s="1036" t="s">
        <v>740</v>
      </c>
      <c r="B3" s="1036"/>
      <c r="C3" s="1036"/>
      <c r="D3" s="1036"/>
      <c r="E3" s="1036"/>
      <c r="F3" s="1036"/>
      <c r="G3" s="1036"/>
      <c r="H3" s="1036"/>
      <c r="I3" s="472"/>
      <c r="J3" s="472"/>
      <c r="K3" s="472"/>
      <c r="L3" s="472"/>
      <c r="M3" s="472"/>
      <c r="N3" s="472"/>
      <c r="O3" s="472"/>
    </row>
    <row r="4" spans="1:17" ht="15" x14ac:dyDescent="0.3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</row>
    <row r="5" spans="1:17" ht="18" x14ac:dyDescent="0.35">
      <c r="A5" s="1035" t="s">
        <v>509</v>
      </c>
      <c r="B5" s="1035"/>
      <c r="C5" s="1035"/>
      <c r="D5" s="1035"/>
      <c r="E5" s="1035"/>
      <c r="F5" s="1035"/>
      <c r="G5" s="1035"/>
      <c r="H5" s="1035"/>
      <c r="I5" s="471"/>
      <c r="J5" s="471"/>
      <c r="K5" s="471"/>
      <c r="L5" s="471"/>
      <c r="M5" s="471"/>
      <c r="N5" s="471"/>
      <c r="O5" s="471"/>
    </row>
    <row r="6" spans="1:17" ht="15" x14ac:dyDescent="0.3">
      <c r="A6" s="474" t="s">
        <v>921</v>
      </c>
      <c r="B6" s="474"/>
      <c r="C6" s="473"/>
      <c r="D6" s="473"/>
      <c r="E6" s="473"/>
      <c r="F6" s="954" t="s">
        <v>830</v>
      </c>
      <c r="G6" s="954"/>
      <c r="H6" s="954"/>
      <c r="I6" s="473"/>
      <c r="J6" s="473"/>
      <c r="K6" s="473"/>
      <c r="L6" s="475"/>
      <c r="M6" s="475"/>
      <c r="N6" s="1040"/>
      <c r="O6" s="1040"/>
    </row>
    <row r="7" spans="1:17" ht="31.5" customHeight="1" x14ac:dyDescent="0.2">
      <c r="A7" s="1041" t="s">
        <v>2</v>
      </c>
      <c r="B7" s="1041" t="s">
        <v>3</v>
      </c>
      <c r="C7" s="1042" t="s">
        <v>385</v>
      </c>
      <c r="D7" s="1037" t="s">
        <v>487</v>
      </c>
      <c r="E7" s="1038"/>
      <c r="F7" s="1038"/>
      <c r="G7" s="1038"/>
      <c r="H7" s="1039"/>
    </row>
    <row r="8" spans="1:17" ht="34.5" customHeight="1" x14ac:dyDescent="0.2">
      <c r="A8" s="1041"/>
      <c r="B8" s="1041"/>
      <c r="C8" s="1042"/>
      <c r="D8" s="476" t="s">
        <v>488</v>
      </c>
      <c r="E8" s="476" t="s">
        <v>489</v>
      </c>
      <c r="F8" s="476" t="s">
        <v>490</v>
      </c>
      <c r="G8" s="476" t="s">
        <v>645</v>
      </c>
      <c r="H8" s="476" t="s">
        <v>47</v>
      </c>
    </row>
    <row r="9" spans="1:17" ht="15" x14ac:dyDescent="0.2">
      <c r="A9" s="477">
        <v>1</v>
      </c>
      <c r="B9" s="477">
        <v>2</v>
      </c>
      <c r="C9" s="477">
        <v>3</v>
      </c>
      <c r="D9" s="477">
        <v>4</v>
      </c>
      <c r="E9" s="477">
        <v>5</v>
      </c>
      <c r="F9" s="477">
        <v>6</v>
      </c>
      <c r="G9" s="477">
        <v>7</v>
      </c>
      <c r="H9" s="477">
        <v>8</v>
      </c>
    </row>
    <row r="10" spans="1:17" x14ac:dyDescent="0.2">
      <c r="A10" s="478">
        <v>1</v>
      </c>
      <c r="B10" s="479" t="s">
        <v>896</v>
      </c>
      <c r="C10" s="479">
        <f>'AT-3'!F9</f>
        <v>2177</v>
      </c>
      <c r="D10" s="479">
        <v>2177</v>
      </c>
      <c r="E10" s="479">
        <v>0</v>
      </c>
      <c r="F10" s="479">
        <v>0</v>
      </c>
      <c r="G10" s="479">
        <v>0</v>
      </c>
      <c r="H10" s="479">
        <f>C10-D10-E10-F10-G10</f>
        <v>0</v>
      </c>
      <c r="I10" s="469">
        <f>D10+E10+F10+G10+H10</f>
        <v>2177</v>
      </c>
      <c r="O10" s="469">
        <v>2177</v>
      </c>
      <c r="Q10" s="469">
        <f>I10-O10</f>
        <v>0</v>
      </c>
    </row>
    <row r="11" spans="1:17" x14ac:dyDescent="0.2">
      <c r="A11" s="478">
        <v>2</v>
      </c>
      <c r="B11" s="479" t="s">
        <v>897</v>
      </c>
      <c r="C11" s="479">
        <f>'AT-3'!F10</f>
        <v>868</v>
      </c>
      <c r="D11" s="479">
        <v>868</v>
      </c>
      <c r="E11" s="479">
        <v>0</v>
      </c>
      <c r="F11" s="479">
        <v>0</v>
      </c>
      <c r="G11" s="479">
        <v>0</v>
      </c>
      <c r="H11" s="479">
        <f t="shared" ref="H11:H33" si="0">C11-D11-E11-F11-G11</f>
        <v>0</v>
      </c>
      <c r="I11" s="469">
        <f t="shared" ref="I11:I33" si="1">D11+E11+F11+G11+H11</f>
        <v>868</v>
      </c>
      <c r="O11" s="469">
        <v>868</v>
      </c>
      <c r="P11" s="469">
        <f t="shared" ref="P11:P33" si="2">C10-O10</f>
        <v>0</v>
      </c>
      <c r="Q11" s="469">
        <f>I11-O11</f>
        <v>0</v>
      </c>
    </row>
    <row r="12" spans="1:17" x14ac:dyDescent="0.2">
      <c r="A12" s="478">
        <v>3</v>
      </c>
      <c r="B12" s="479" t="s">
        <v>898</v>
      </c>
      <c r="C12" s="479">
        <f>'AT-3'!F11</f>
        <v>491</v>
      </c>
      <c r="D12" s="479">
        <v>491</v>
      </c>
      <c r="E12" s="479">
        <v>0</v>
      </c>
      <c r="F12" s="479">
        <v>0</v>
      </c>
      <c r="G12" s="479">
        <v>0</v>
      </c>
      <c r="H12" s="479">
        <f t="shared" si="0"/>
        <v>0</v>
      </c>
      <c r="I12" s="469">
        <f t="shared" si="1"/>
        <v>491</v>
      </c>
      <c r="O12" s="469">
        <v>491</v>
      </c>
      <c r="P12" s="469">
        <f t="shared" si="2"/>
        <v>0</v>
      </c>
      <c r="Q12" s="469">
        <f t="shared" ref="Q12:Q33" si="3">I12-O12</f>
        <v>0</v>
      </c>
    </row>
    <row r="13" spans="1:17" x14ac:dyDescent="0.2">
      <c r="A13" s="478">
        <v>4</v>
      </c>
      <c r="B13" s="479" t="s">
        <v>899</v>
      </c>
      <c r="C13" s="479">
        <f>'AT-3'!F12</f>
        <v>1519</v>
      </c>
      <c r="D13" s="479">
        <v>1519</v>
      </c>
      <c r="E13" s="479">
        <v>0</v>
      </c>
      <c r="F13" s="479">
        <v>0</v>
      </c>
      <c r="G13" s="479">
        <v>0</v>
      </c>
      <c r="H13" s="479">
        <f t="shared" si="0"/>
        <v>0</v>
      </c>
      <c r="I13" s="469">
        <f t="shared" si="1"/>
        <v>1519</v>
      </c>
      <c r="O13" s="469">
        <v>1519</v>
      </c>
      <c r="P13" s="469">
        <f t="shared" si="2"/>
        <v>0</v>
      </c>
      <c r="Q13" s="469">
        <f t="shared" si="3"/>
        <v>0</v>
      </c>
    </row>
    <row r="14" spans="1:17" x14ac:dyDescent="0.2">
      <c r="A14" s="478">
        <v>5</v>
      </c>
      <c r="B14" s="479" t="s">
        <v>900</v>
      </c>
      <c r="C14" s="479">
        <f>'AT-3'!F13</f>
        <v>968</v>
      </c>
      <c r="D14" s="479">
        <v>968</v>
      </c>
      <c r="E14" s="479">
        <v>0</v>
      </c>
      <c r="F14" s="479">
        <v>0</v>
      </c>
      <c r="G14" s="479">
        <v>0</v>
      </c>
      <c r="H14" s="479">
        <f t="shared" si="0"/>
        <v>0</v>
      </c>
      <c r="I14" s="469">
        <f t="shared" si="1"/>
        <v>968</v>
      </c>
      <c r="O14" s="469">
        <v>968</v>
      </c>
      <c r="P14" s="469">
        <f t="shared" si="2"/>
        <v>0</v>
      </c>
      <c r="Q14" s="469">
        <f t="shared" si="3"/>
        <v>0</v>
      </c>
    </row>
    <row r="15" spans="1:17" x14ac:dyDescent="0.2">
      <c r="A15" s="478">
        <v>6</v>
      </c>
      <c r="B15" s="479" t="s">
        <v>901</v>
      </c>
      <c r="C15" s="479">
        <f>'AT-3'!F14</f>
        <v>1620</v>
      </c>
      <c r="D15" s="479">
        <f>1620-297</f>
        <v>1323</v>
      </c>
      <c r="E15" s="479">
        <v>0</v>
      </c>
      <c r="F15" s="479">
        <v>0</v>
      </c>
      <c r="G15" s="479">
        <v>297</v>
      </c>
      <c r="H15" s="479">
        <f t="shared" si="0"/>
        <v>0</v>
      </c>
      <c r="I15" s="469">
        <f t="shared" si="1"/>
        <v>1620</v>
      </c>
      <c r="O15" s="469">
        <v>1620</v>
      </c>
      <c r="P15" s="469">
        <f t="shared" si="2"/>
        <v>0</v>
      </c>
      <c r="Q15" s="469">
        <f t="shared" si="3"/>
        <v>0</v>
      </c>
    </row>
    <row r="16" spans="1:17" x14ac:dyDescent="0.2">
      <c r="A16" s="478">
        <v>7</v>
      </c>
      <c r="B16" s="479" t="s">
        <v>902</v>
      </c>
      <c r="C16" s="479">
        <f>'AT-3'!F15</f>
        <v>1381</v>
      </c>
      <c r="D16" s="479">
        <f>1381-79</f>
        <v>1302</v>
      </c>
      <c r="E16" s="479">
        <v>0</v>
      </c>
      <c r="F16" s="479">
        <v>0</v>
      </c>
      <c r="G16" s="479">
        <v>79</v>
      </c>
      <c r="H16" s="479">
        <f t="shared" si="0"/>
        <v>0</v>
      </c>
      <c r="I16" s="469">
        <f t="shared" si="1"/>
        <v>1381</v>
      </c>
      <c r="O16" s="469">
        <v>1381</v>
      </c>
      <c r="P16" s="469">
        <f t="shared" si="2"/>
        <v>0</v>
      </c>
      <c r="Q16" s="469">
        <f t="shared" si="3"/>
        <v>0</v>
      </c>
    </row>
    <row r="17" spans="1:17" x14ac:dyDescent="0.2">
      <c r="A17" s="478">
        <v>8</v>
      </c>
      <c r="B17" s="479" t="s">
        <v>903</v>
      </c>
      <c r="C17" s="479">
        <f>'AT-3'!F16</f>
        <v>2066</v>
      </c>
      <c r="D17" s="479">
        <v>2040</v>
      </c>
      <c r="E17" s="479">
        <v>0</v>
      </c>
      <c r="F17" s="479">
        <v>0</v>
      </c>
      <c r="G17" s="479">
        <v>0</v>
      </c>
      <c r="H17" s="479">
        <f t="shared" si="0"/>
        <v>26</v>
      </c>
      <c r="I17" s="469">
        <f t="shared" si="1"/>
        <v>2066</v>
      </c>
      <c r="O17" s="469">
        <v>2066</v>
      </c>
      <c r="P17" s="469">
        <f t="shared" si="2"/>
        <v>0</v>
      </c>
      <c r="Q17" s="469">
        <f t="shared" si="3"/>
        <v>0</v>
      </c>
    </row>
    <row r="18" spans="1:17" x14ac:dyDescent="0.2">
      <c r="A18" s="478">
        <v>9</v>
      </c>
      <c r="B18" s="479" t="s">
        <v>904</v>
      </c>
      <c r="C18" s="479">
        <f>'AT-3'!F17</f>
        <v>2499</v>
      </c>
      <c r="D18" s="479">
        <v>2499</v>
      </c>
      <c r="E18" s="479">
        <v>0</v>
      </c>
      <c r="F18" s="479">
        <v>0</v>
      </c>
      <c r="G18" s="479">
        <v>0</v>
      </c>
      <c r="H18" s="479">
        <f t="shared" si="0"/>
        <v>0</v>
      </c>
      <c r="I18" s="469">
        <f t="shared" si="1"/>
        <v>2499</v>
      </c>
      <c r="O18" s="469">
        <v>2499</v>
      </c>
      <c r="P18" s="469">
        <f t="shared" si="2"/>
        <v>0</v>
      </c>
      <c r="Q18" s="469">
        <f t="shared" si="3"/>
        <v>0</v>
      </c>
    </row>
    <row r="19" spans="1:17" x14ac:dyDescent="0.2">
      <c r="A19" s="478">
        <v>10</v>
      </c>
      <c r="B19" s="479" t="s">
        <v>905</v>
      </c>
      <c r="C19" s="479">
        <f>'AT-3'!F18</f>
        <v>1037</v>
      </c>
      <c r="D19" s="479">
        <v>1037</v>
      </c>
      <c r="E19" s="479">
        <v>0</v>
      </c>
      <c r="F19" s="479">
        <v>0</v>
      </c>
      <c r="G19" s="479">
        <v>0</v>
      </c>
      <c r="H19" s="479">
        <f t="shared" si="0"/>
        <v>0</v>
      </c>
      <c r="I19" s="469">
        <f t="shared" si="1"/>
        <v>1037</v>
      </c>
      <c r="O19" s="469">
        <v>1037</v>
      </c>
      <c r="P19" s="469">
        <f t="shared" si="2"/>
        <v>0</v>
      </c>
      <c r="Q19" s="469">
        <f t="shared" si="3"/>
        <v>0</v>
      </c>
    </row>
    <row r="20" spans="1:17" x14ac:dyDescent="0.2">
      <c r="A20" s="478">
        <v>11</v>
      </c>
      <c r="B20" s="479" t="s">
        <v>906</v>
      </c>
      <c r="C20" s="479">
        <f>'AT-3'!F19</f>
        <v>1420</v>
      </c>
      <c r="D20" s="479">
        <v>1420</v>
      </c>
      <c r="E20" s="479">
        <v>0</v>
      </c>
      <c r="F20" s="479">
        <v>0</v>
      </c>
      <c r="G20" s="479">
        <v>0</v>
      </c>
      <c r="H20" s="479">
        <v>0</v>
      </c>
      <c r="I20" s="469">
        <f t="shared" si="1"/>
        <v>1420</v>
      </c>
      <c r="O20" s="469">
        <v>1420</v>
      </c>
      <c r="P20" s="469">
        <f t="shared" si="2"/>
        <v>0</v>
      </c>
      <c r="Q20" s="469">
        <f t="shared" si="3"/>
        <v>0</v>
      </c>
    </row>
    <row r="21" spans="1:17" x14ac:dyDescent="0.2">
      <c r="A21" s="478">
        <v>12</v>
      </c>
      <c r="B21" s="480" t="s">
        <v>907</v>
      </c>
      <c r="C21" s="479">
        <f>'AT-3'!F20</f>
        <v>1479</v>
      </c>
      <c r="D21" s="479">
        <v>1479</v>
      </c>
      <c r="E21" s="479">
        <v>0</v>
      </c>
      <c r="F21" s="479">
        <v>0</v>
      </c>
      <c r="G21" s="479">
        <v>0</v>
      </c>
      <c r="H21" s="479">
        <f t="shared" si="0"/>
        <v>0</v>
      </c>
      <c r="I21" s="469">
        <f t="shared" si="1"/>
        <v>1479</v>
      </c>
      <c r="O21" s="469">
        <v>1479</v>
      </c>
      <c r="P21" s="469">
        <f t="shared" si="2"/>
        <v>0</v>
      </c>
      <c r="Q21" s="469">
        <f t="shared" si="3"/>
        <v>0</v>
      </c>
    </row>
    <row r="22" spans="1:17" x14ac:dyDescent="0.2">
      <c r="A22" s="478">
        <v>13</v>
      </c>
      <c r="B22" s="479" t="s">
        <v>908</v>
      </c>
      <c r="C22" s="479">
        <f>'AT-3'!F21</f>
        <v>587</v>
      </c>
      <c r="D22" s="479">
        <v>586</v>
      </c>
      <c r="E22" s="479">
        <v>0</v>
      </c>
      <c r="F22" s="479">
        <v>0</v>
      </c>
      <c r="G22" s="479">
        <v>0</v>
      </c>
      <c r="H22" s="479">
        <f t="shared" si="0"/>
        <v>1</v>
      </c>
      <c r="I22" s="469">
        <f t="shared" si="1"/>
        <v>587</v>
      </c>
      <c r="O22" s="469">
        <v>587</v>
      </c>
      <c r="P22" s="469">
        <f t="shared" si="2"/>
        <v>0</v>
      </c>
      <c r="Q22" s="469">
        <f t="shared" si="3"/>
        <v>0</v>
      </c>
    </row>
    <row r="23" spans="1:17" x14ac:dyDescent="0.2">
      <c r="A23" s="478">
        <v>14</v>
      </c>
      <c r="B23" s="479" t="s">
        <v>909</v>
      </c>
      <c r="C23" s="479">
        <f>'AT-3'!F22</f>
        <v>659</v>
      </c>
      <c r="D23" s="479">
        <v>659</v>
      </c>
      <c r="E23" s="479">
        <v>0</v>
      </c>
      <c r="F23" s="479">
        <v>0</v>
      </c>
      <c r="G23" s="479">
        <v>0</v>
      </c>
      <c r="H23" s="479">
        <f t="shared" si="0"/>
        <v>0</v>
      </c>
      <c r="I23" s="469">
        <f t="shared" si="1"/>
        <v>659</v>
      </c>
      <c r="O23" s="469">
        <v>659</v>
      </c>
      <c r="P23" s="469">
        <f t="shared" si="2"/>
        <v>0</v>
      </c>
      <c r="Q23" s="469">
        <f t="shared" si="3"/>
        <v>0</v>
      </c>
    </row>
    <row r="24" spans="1:17" x14ac:dyDescent="0.2">
      <c r="A24" s="478">
        <v>15</v>
      </c>
      <c r="B24" s="479" t="s">
        <v>910</v>
      </c>
      <c r="C24" s="479">
        <f>'AT-3'!F23</f>
        <v>1539</v>
      </c>
      <c r="D24" s="479">
        <v>1539</v>
      </c>
      <c r="E24" s="479">
        <v>0</v>
      </c>
      <c r="F24" s="479">
        <v>0</v>
      </c>
      <c r="G24" s="479">
        <v>0</v>
      </c>
      <c r="H24" s="479">
        <f t="shared" si="0"/>
        <v>0</v>
      </c>
      <c r="I24" s="469">
        <f t="shared" si="1"/>
        <v>1539</v>
      </c>
      <c r="O24" s="469">
        <v>1539</v>
      </c>
      <c r="P24" s="469">
        <f t="shared" si="2"/>
        <v>0</v>
      </c>
      <c r="Q24" s="469">
        <f t="shared" si="3"/>
        <v>0</v>
      </c>
    </row>
    <row r="25" spans="1:17" x14ac:dyDescent="0.2">
      <c r="A25" s="478">
        <v>16</v>
      </c>
      <c r="B25" s="479" t="s">
        <v>911</v>
      </c>
      <c r="C25" s="479">
        <f>'AT-3'!F24</f>
        <v>3136</v>
      </c>
      <c r="D25" s="479">
        <v>3120</v>
      </c>
      <c r="E25" s="479">
        <v>0</v>
      </c>
      <c r="F25" s="479">
        <v>0</v>
      </c>
      <c r="G25" s="479">
        <v>0</v>
      </c>
      <c r="H25" s="479">
        <f t="shared" si="0"/>
        <v>16</v>
      </c>
      <c r="I25" s="469">
        <f t="shared" si="1"/>
        <v>3136</v>
      </c>
      <c r="O25" s="469">
        <v>3136</v>
      </c>
      <c r="P25" s="469">
        <f t="shared" si="2"/>
        <v>0</v>
      </c>
      <c r="Q25" s="469">
        <f t="shared" si="3"/>
        <v>0</v>
      </c>
    </row>
    <row r="26" spans="1:17" x14ac:dyDescent="0.2">
      <c r="A26" s="478">
        <v>17</v>
      </c>
      <c r="B26" s="479" t="s">
        <v>912</v>
      </c>
      <c r="C26" s="479">
        <f>'AT-3'!F25</f>
        <v>1694</v>
      </c>
      <c r="D26" s="479">
        <v>1694</v>
      </c>
      <c r="E26" s="479">
        <v>0</v>
      </c>
      <c r="F26" s="479">
        <v>0</v>
      </c>
      <c r="G26" s="479">
        <v>0</v>
      </c>
      <c r="H26" s="479">
        <f t="shared" si="0"/>
        <v>0</v>
      </c>
      <c r="I26" s="469">
        <f t="shared" si="1"/>
        <v>1694</v>
      </c>
      <c r="O26" s="469">
        <v>1694</v>
      </c>
      <c r="P26" s="469">
        <f t="shared" si="2"/>
        <v>0</v>
      </c>
      <c r="Q26" s="469">
        <f t="shared" si="3"/>
        <v>0</v>
      </c>
    </row>
    <row r="27" spans="1:17" x14ac:dyDescent="0.2">
      <c r="A27" s="478">
        <v>18</v>
      </c>
      <c r="B27" s="479" t="s">
        <v>913</v>
      </c>
      <c r="C27" s="479">
        <f>'AT-3'!F26</f>
        <v>1522</v>
      </c>
      <c r="D27" s="479">
        <v>1522</v>
      </c>
      <c r="E27" s="479">
        <v>0</v>
      </c>
      <c r="F27" s="479">
        <v>0</v>
      </c>
      <c r="G27" s="479">
        <v>0</v>
      </c>
      <c r="H27" s="479">
        <f t="shared" si="0"/>
        <v>0</v>
      </c>
      <c r="I27" s="469">
        <f t="shared" si="1"/>
        <v>1522</v>
      </c>
      <c r="O27" s="469">
        <v>1522</v>
      </c>
      <c r="P27" s="469">
        <f t="shared" si="2"/>
        <v>0</v>
      </c>
      <c r="Q27" s="469">
        <f t="shared" si="3"/>
        <v>0</v>
      </c>
    </row>
    <row r="28" spans="1:17" x14ac:dyDescent="0.2">
      <c r="A28" s="478">
        <v>19</v>
      </c>
      <c r="B28" s="479" t="s">
        <v>914</v>
      </c>
      <c r="C28" s="479">
        <f>'AT-3'!F27</f>
        <v>2314</v>
      </c>
      <c r="D28" s="479">
        <v>2313</v>
      </c>
      <c r="E28" s="479">
        <v>0</v>
      </c>
      <c r="F28" s="479">
        <v>0</v>
      </c>
      <c r="G28" s="479">
        <v>0</v>
      </c>
      <c r="H28" s="479">
        <f t="shared" si="0"/>
        <v>1</v>
      </c>
      <c r="I28" s="469">
        <f t="shared" si="1"/>
        <v>2314</v>
      </c>
      <c r="O28" s="469">
        <v>2314</v>
      </c>
      <c r="P28" s="469">
        <f t="shared" si="2"/>
        <v>0</v>
      </c>
      <c r="Q28" s="469">
        <f t="shared" si="3"/>
        <v>0</v>
      </c>
    </row>
    <row r="29" spans="1:17" x14ac:dyDescent="0.2">
      <c r="A29" s="478">
        <v>20</v>
      </c>
      <c r="B29" s="479" t="s">
        <v>915</v>
      </c>
      <c r="C29" s="479">
        <f>'AT-3'!F28</f>
        <v>1015</v>
      </c>
      <c r="D29" s="479">
        <v>1015</v>
      </c>
      <c r="E29" s="479">
        <v>0</v>
      </c>
      <c r="F29" s="479">
        <v>0</v>
      </c>
      <c r="G29" s="479">
        <v>0</v>
      </c>
      <c r="H29" s="479">
        <f t="shared" si="0"/>
        <v>0</v>
      </c>
      <c r="I29" s="469">
        <f t="shared" si="1"/>
        <v>1015</v>
      </c>
      <c r="O29" s="469">
        <v>1015</v>
      </c>
      <c r="P29" s="469">
        <f t="shared" si="2"/>
        <v>0</v>
      </c>
      <c r="Q29" s="469">
        <f t="shared" si="3"/>
        <v>0</v>
      </c>
    </row>
    <row r="30" spans="1:17" x14ac:dyDescent="0.2">
      <c r="A30" s="478">
        <v>21</v>
      </c>
      <c r="B30" s="479" t="s">
        <v>916</v>
      </c>
      <c r="C30" s="479">
        <f>'AT-3'!F29</f>
        <v>1286</v>
      </c>
      <c r="D30" s="479">
        <v>1146</v>
      </c>
      <c r="E30" s="479">
        <v>0</v>
      </c>
      <c r="F30" s="479">
        <v>0</v>
      </c>
      <c r="G30" s="479">
        <v>0</v>
      </c>
      <c r="H30" s="479">
        <f t="shared" si="0"/>
        <v>140</v>
      </c>
      <c r="I30" s="469">
        <f t="shared" si="1"/>
        <v>1286</v>
      </c>
      <c r="O30" s="469">
        <v>1286</v>
      </c>
      <c r="P30" s="469">
        <f t="shared" si="2"/>
        <v>0</v>
      </c>
      <c r="Q30" s="469">
        <f t="shared" si="3"/>
        <v>0</v>
      </c>
    </row>
    <row r="31" spans="1:17" x14ac:dyDescent="0.2">
      <c r="A31" s="478">
        <v>22</v>
      </c>
      <c r="B31" s="479" t="s">
        <v>917</v>
      </c>
      <c r="C31" s="479">
        <f>'AT-3'!F30</f>
        <v>1011</v>
      </c>
      <c r="D31" s="479">
        <v>992</v>
      </c>
      <c r="E31" s="479">
        <v>0</v>
      </c>
      <c r="F31" s="479">
        <v>0</v>
      </c>
      <c r="G31" s="479">
        <v>0</v>
      </c>
      <c r="H31" s="479">
        <f t="shared" si="0"/>
        <v>19</v>
      </c>
      <c r="I31" s="469">
        <f t="shared" si="1"/>
        <v>1011</v>
      </c>
      <c r="O31" s="469">
        <v>1011</v>
      </c>
      <c r="P31" s="469">
        <f t="shared" si="2"/>
        <v>0</v>
      </c>
      <c r="Q31" s="469">
        <f t="shared" si="3"/>
        <v>0</v>
      </c>
    </row>
    <row r="32" spans="1:17" x14ac:dyDescent="0.2">
      <c r="A32" s="478">
        <v>23</v>
      </c>
      <c r="B32" s="479" t="s">
        <v>918</v>
      </c>
      <c r="C32" s="479">
        <f>'AT-3'!F31</f>
        <v>1540</v>
      </c>
      <c r="D32" s="479">
        <v>1540</v>
      </c>
      <c r="E32" s="479">
        <v>0</v>
      </c>
      <c r="F32" s="479">
        <v>0</v>
      </c>
      <c r="G32" s="479">
        <v>0</v>
      </c>
      <c r="H32" s="479">
        <f t="shared" si="0"/>
        <v>0</v>
      </c>
      <c r="I32" s="469">
        <f t="shared" si="1"/>
        <v>1540</v>
      </c>
      <c r="O32" s="469">
        <v>1540</v>
      </c>
      <c r="P32" s="469">
        <f t="shared" si="2"/>
        <v>0</v>
      </c>
      <c r="Q32" s="469">
        <f t="shared" si="3"/>
        <v>0</v>
      </c>
    </row>
    <row r="33" spans="1:17" x14ac:dyDescent="0.2">
      <c r="A33" s="478">
        <v>24</v>
      </c>
      <c r="B33" s="480" t="s">
        <v>919</v>
      </c>
      <c r="C33" s="479">
        <f>'AT-3'!F32</f>
        <v>1945</v>
      </c>
      <c r="D33" s="479">
        <v>1945</v>
      </c>
      <c r="E33" s="479">
        <v>0</v>
      </c>
      <c r="F33" s="479">
        <v>0</v>
      </c>
      <c r="G33" s="479">
        <v>0</v>
      </c>
      <c r="H33" s="479">
        <f t="shared" si="0"/>
        <v>0</v>
      </c>
      <c r="I33" s="469">
        <f t="shared" si="1"/>
        <v>1945</v>
      </c>
      <c r="O33" s="337">
        <v>1945</v>
      </c>
      <c r="P33" s="469">
        <f t="shared" si="2"/>
        <v>0</v>
      </c>
      <c r="Q33" s="469">
        <f t="shared" si="3"/>
        <v>0</v>
      </c>
    </row>
    <row r="34" spans="1:17" s="337" customFormat="1" x14ac:dyDescent="0.2">
      <c r="A34" s="1034" t="s">
        <v>18</v>
      </c>
      <c r="B34" s="1034"/>
      <c r="C34" s="481">
        <f t="shared" ref="C34:H34" si="4">SUM(C10:C33)</f>
        <v>35773</v>
      </c>
      <c r="D34" s="481">
        <f t="shared" si="4"/>
        <v>35194</v>
      </c>
      <c r="E34" s="481">
        <f t="shared" si="4"/>
        <v>0</v>
      </c>
      <c r="F34" s="481">
        <f t="shared" si="4"/>
        <v>0</v>
      </c>
      <c r="G34" s="481">
        <f t="shared" si="4"/>
        <v>376</v>
      </c>
      <c r="H34" s="481">
        <f t="shared" si="4"/>
        <v>203</v>
      </c>
      <c r="J34" s="337">
        <v>35200</v>
      </c>
      <c r="K34" s="337">
        <v>35773</v>
      </c>
      <c r="L34" s="508"/>
    </row>
    <row r="37" spans="1:17" x14ac:dyDescent="0.2">
      <c r="A37" s="14" t="s">
        <v>22</v>
      </c>
      <c r="B37" s="1029"/>
      <c r="C37" s="1029"/>
      <c r="D37" s="1029"/>
      <c r="E37" s="1029"/>
      <c r="F37" s="1029"/>
      <c r="G37" s="1029"/>
      <c r="H37" s="1029"/>
      <c r="I37" s="630"/>
      <c r="J37" s="630"/>
    </row>
    <row r="38" spans="1:17" x14ac:dyDescent="0.2">
      <c r="A38" s="633"/>
      <c r="B38" s="1029"/>
      <c r="C38" s="1029"/>
      <c r="D38" s="1029"/>
      <c r="E38" s="1029"/>
      <c r="F38" s="1029"/>
      <c r="G38" s="1029"/>
      <c r="H38" s="1029"/>
      <c r="I38" s="821" t="s">
        <v>12</v>
      </c>
      <c r="J38" s="821"/>
    </row>
    <row r="39" spans="1:17" x14ac:dyDescent="0.2">
      <c r="A39" s="803" t="s">
        <v>13</v>
      </c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7" x14ac:dyDescent="0.2">
      <c r="A40" s="803" t="s">
        <v>19</v>
      </c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7" x14ac:dyDescent="0.2">
      <c r="A41"/>
      <c r="B41" s="14"/>
      <c r="C41" s="14"/>
      <c r="D41" s="14"/>
      <c r="E41" s="14"/>
      <c r="F41" s="640" t="s">
        <v>23</v>
      </c>
      <c r="G41" s="640"/>
      <c r="H41" s="640"/>
      <c r="J41" s="633"/>
    </row>
  </sheetData>
  <mergeCells count="14">
    <mergeCell ref="A2:H2"/>
    <mergeCell ref="A3:H3"/>
    <mergeCell ref="A5:H5"/>
    <mergeCell ref="D7:H7"/>
    <mergeCell ref="N6:O6"/>
    <mergeCell ref="A7:A8"/>
    <mergeCell ref="B7:B8"/>
    <mergeCell ref="C7:C8"/>
    <mergeCell ref="F6:H6"/>
    <mergeCell ref="B37:H38"/>
    <mergeCell ref="I38:J38"/>
    <mergeCell ref="A39:J39"/>
    <mergeCell ref="A40:J40"/>
    <mergeCell ref="A34:B34"/>
  </mergeCells>
  <printOptions horizontalCentered="1"/>
  <pageMargins left="0.70866141732283472" right="0.16" top="0.23622047244094491" bottom="0" header="0.31496062992125984" footer="0.16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41"/>
  <sheetViews>
    <sheetView topLeftCell="A4" zoomScaleNormal="100" zoomScaleSheetLayoutView="85" workbookViewId="0">
      <selection activeCell="C33" sqref="C33"/>
    </sheetView>
  </sheetViews>
  <sheetFormatPr defaultRowHeight="12.75" x14ac:dyDescent="0.2"/>
  <cols>
    <col min="1" max="1" width="6.140625" style="469" customWidth="1"/>
    <col min="2" max="2" width="14.85546875" style="469" bestFit="1" customWidth="1"/>
    <col min="3" max="3" width="16.7109375" style="469" customWidth="1"/>
    <col min="4" max="4" width="9.42578125" style="469" customWidth="1"/>
    <col min="5" max="5" width="9" style="469" customWidth="1"/>
    <col min="6" max="6" width="11.5703125" style="469" customWidth="1"/>
    <col min="7" max="10" width="10.42578125" style="469" customWidth="1"/>
    <col min="11" max="11" width="10.5703125" style="469" customWidth="1"/>
    <col min="12" max="12" width="10.42578125" style="469" customWidth="1"/>
    <col min="13" max="13" width="11.5703125" style="469" customWidth="1"/>
    <col min="14" max="14" width="13" style="469" customWidth="1"/>
    <col min="15" max="16384" width="9.140625" style="469"/>
  </cols>
  <sheetData>
    <row r="1" spans="1:14" ht="18" x14ac:dyDescent="0.35">
      <c r="A1" s="1035" t="s">
        <v>0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N1" s="569" t="s">
        <v>512</v>
      </c>
    </row>
    <row r="2" spans="1:14" ht="21" x14ac:dyDescent="0.35">
      <c r="A2" s="1036" t="s">
        <v>740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</row>
    <row r="3" spans="1:14" ht="15" x14ac:dyDescent="0.3">
      <c r="A3" s="473"/>
      <c r="B3" s="473"/>
      <c r="C3" s="473"/>
      <c r="D3" s="473"/>
      <c r="E3" s="473"/>
      <c r="F3" s="473"/>
      <c r="G3" s="473"/>
      <c r="H3" s="473"/>
      <c r="I3" s="473"/>
      <c r="J3" s="473"/>
    </row>
    <row r="4" spans="1:14" ht="18" x14ac:dyDescent="0.35">
      <c r="A4" s="1035" t="s">
        <v>511</v>
      </c>
      <c r="B4" s="1035"/>
      <c r="C4" s="1035"/>
      <c r="D4" s="1035"/>
      <c r="E4" s="1035"/>
      <c r="F4" s="1035"/>
      <c r="G4" s="1035"/>
      <c r="H4" s="1035"/>
      <c r="I4" s="555"/>
      <c r="J4" s="555"/>
    </row>
    <row r="5" spans="1:14" ht="15" x14ac:dyDescent="0.3">
      <c r="A5" s="474" t="s">
        <v>921</v>
      </c>
      <c r="B5" s="474"/>
      <c r="C5" s="474"/>
      <c r="D5" s="474"/>
      <c r="E5" s="474"/>
      <c r="F5" s="474"/>
      <c r="G5" s="474"/>
      <c r="H5" s="473"/>
      <c r="I5" s="473"/>
      <c r="J5" s="473"/>
      <c r="L5" s="1045" t="s">
        <v>830</v>
      </c>
      <c r="M5" s="1045"/>
      <c r="N5" s="1045"/>
    </row>
    <row r="6" spans="1:14" ht="28.5" customHeight="1" x14ac:dyDescent="0.2">
      <c r="A6" s="1043" t="s">
        <v>2</v>
      </c>
      <c r="B6" s="1043" t="s">
        <v>38</v>
      </c>
      <c r="C6" s="964" t="s">
        <v>397</v>
      </c>
      <c r="D6" s="1047" t="s">
        <v>446</v>
      </c>
      <c r="E6" s="1047"/>
      <c r="F6" s="1047"/>
      <c r="G6" s="1047"/>
      <c r="H6" s="1048"/>
      <c r="I6" s="964" t="s">
        <v>537</v>
      </c>
      <c r="J6" s="964" t="s">
        <v>538</v>
      </c>
      <c r="K6" s="1041" t="s">
        <v>491</v>
      </c>
      <c r="L6" s="1041"/>
      <c r="M6" s="1041"/>
      <c r="N6" s="1041"/>
    </row>
    <row r="7" spans="1:14" ht="39" customHeight="1" x14ac:dyDescent="0.2">
      <c r="A7" s="1044"/>
      <c r="B7" s="1044"/>
      <c r="C7" s="964"/>
      <c r="D7" s="554" t="s">
        <v>445</v>
      </c>
      <c r="E7" s="554" t="s">
        <v>398</v>
      </c>
      <c r="F7" s="570" t="s">
        <v>399</v>
      </c>
      <c r="G7" s="554" t="s">
        <v>400</v>
      </c>
      <c r="H7" s="554" t="s">
        <v>47</v>
      </c>
      <c r="I7" s="964"/>
      <c r="J7" s="964"/>
      <c r="K7" s="556" t="s">
        <v>401</v>
      </c>
      <c r="L7" s="554" t="s">
        <v>492</v>
      </c>
      <c r="M7" s="554" t="s">
        <v>402</v>
      </c>
      <c r="N7" s="554" t="s">
        <v>403</v>
      </c>
    </row>
    <row r="8" spans="1:14" ht="15" x14ac:dyDescent="0.2">
      <c r="A8" s="571" t="s">
        <v>256</v>
      </c>
      <c r="B8" s="571" t="s">
        <v>257</v>
      </c>
      <c r="C8" s="571" t="s">
        <v>258</v>
      </c>
      <c r="D8" s="571" t="s">
        <v>259</v>
      </c>
      <c r="E8" s="571" t="s">
        <v>260</v>
      </c>
      <c r="F8" s="571" t="s">
        <v>261</v>
      </c>
      <c r="G8" s="571" t="s">
        <v>262</v>
      </c>
      <c r="H8" s="571" t="s">
        <v>263</v>
      </c>
      <c r="I8" s="571" t="s">
        <v>282</v>
      </c>
      <c r="J8" s="571" t="s">
        <v>283</v>
      </c>
      <c r="K8" s="571" t="s">
        <v>284</v>
      </c>
      <c r="L8" s="571" t="s">
        <v>312</v>
      </c>
      <c r="M8" s="571" t="s">
        <v>313</v>
      </c>
      <c r="N8" s="571" t="s">
        <v>314</v>
      </c>
    </row>
    <row r="9" spans="1:14" x14ac:dyDescent="0.2">
      <c r="A9" s="478">
        <v>1</v>
      </c>
      <c r="B9" s="479" t="s">
        <v>896</v>
      </c>
      <c r="C9" s="479">
        <f>'Mode of cooking'!C10</f>
        <v>2177</v>
      </c>
      <c r="D9" s="479">
        <v>154</v>
      </c>
      <c r="E9" s="479">
        <v>452</v>
      </c>
      <c r="F9" s="479">
        <f>C9-D9-E9-G9</f>
        <v>1571</v>
      </c>
      <c r="G9" s="479">
        <v>0</v>
      </c>
      <c r="H9" s="479">
        <v>0</v>
      </c>
      <c r="I9" s="479">
        <v>2005</v>
      </c>
      <c r="J9" s="479">
        <v>2177</v>
      </c>
      <c r="K9" s="479">
        <v>112</v>
      </c>
      <c r="L9" s="479">
        <v>172</v>
      </c>
      <c r="M9" s="479">
        <v>154</v>
      </c>
      <c r="N9" s="479">
        <v>1524</v>
      </c>
    </row>
    <row r="10" spans="1:14" x14ac:dyDescent="0.2">
      <c r="A10" s="478">
        <v>2</v>
      </c>
      <c r="B10" s="479" t="s">
        <v>897</v>
      </c>
      <c r="C10" s="479">
        <f>'Mode of cooking'!C11</f>
        <v>868</v>
      </c>
      <c r="D10" s="479">
        <v>0</v>
      </c>
      <c r="E10" s="479">
        <v>0</v>
      </c>
      <c r="F10" s="479">
        <f t="shared" ref="F10:F32" si="0">C10-D10-E10-G10</f>
        <v>775</v>
      </c>
      <c r="G10" s="479">
        <v>93</v>
      </c>
      <c r="H10" s="479">
        <v>0</v>
      </c>
      <c r="I10" s="479">
        <v>0</v>
      </c>
      <c r="J10" s="479">
        <v>0</v>
      </c>
      <c r="K10" s="479">
        <v>868</v>
      </c>
      <c r="L10" s="479">
        <v>868</v>
      </c>
      <c r="M10" s="479">
        <v>868</v>
      </c>
      <c r="N10" s="479">
        <v>775</v>
      </c>
    </row>
    <row r="11" spans="1:14" x14ac:dyDescent="0.2">
      <c r="A11" s="478">
        <v>3</v>
      </c>
      <c r="B11" s="479" t="s">
        <v>898</v>
      </c>
      <c r="C11" s="479">
        <f>'Mode of cooking'!C12</f>
        <v>491</v>
      </c>
      <c r="D11" s="479">
        <v>169</v>
      </c>
      <c r="E11" s="479">
        <v>122</v>
      </c>
      <c r="F11" s="479">
        <f t="shared" si="0"/>
        <v>200</v>
      </c>
      <c r="G11" s="479">
        <v>0</v>
      </c>
      <c r="H11" s="479">
        <v>0</v>
      </c>
      <c r="I11" s="479">
        <v>491</v>
      </c>
      <c r="J11" s="479">
        <v>491</v>
      </c>
      <c r="K11" s="479">
        <v>491</v>
      </c>
      <c r="L11" s="479">
        <v>491</v>
      </c>
      <c r="M11" s="479">
        <v>491</v>
      </c>
      <c r="N11" s="479">
        <v>491</v>
      </c>
    </row>
    <row r="12" spans="1:14" x14ac:dyDescent="0.2">
      <c r="A12" s="478">
        <v>4</v>
      </c>
      <c r="B12" s="479" t="s">
        <v>899</v>
      </c>
      <c r="C12" s="479">
        <f>'Mode of cooking'!C13</f>
        <v>1519</v>
      </c>
      <c r="D12" s="479">
        <v>0</v>
      </c>
      <c r="E12" s="479">
        <v>0</v>
      </c>
      <c r="F12" s="479">
        <f t="shared" si="0"/>
        <v>1365</v>
      </c>
      <c r="G12" s="479">
        <v>154</v>
      </c>
      <c r="H12" s="479">
        <v>0</v>
      </c>
      <c r="I12" s="479">
        <v>0</v>
      </c>
      <c r="J12" s="479">
        <v>0</v>
      </c>
      <c r="K12" s="479">
        <v>1519</v>
      </c>
      <c r="L12" s="479">
        <v>0</v>
      </c>
      <c r="M12" s="479">
        <v>1519</v>
      </c>
      <c r="N12" s="479">
        <v>0</v>
      </c>
    </row>
    <row r="13" spans="1:14" x14ac:dyDescent="0.2">
      <c r="A13" s="478">
        <v>5</v>
      </c>
      <c r="B13" s="479" t="s">
        <v>900</v>
      </c>
      <c r="C13" s="479">
        <f>'Mode of cooking'!C14</f>
        <v>968</v>
      </c>
      <c r="D13" s="479">
        <v>0</v>
      </c>
      <c r="E13" s="479">
        <v>0</v>
      </c>
      <c r="F13" s="479">
        <f t="shared" si="0"/>
        <v>968</v>
      </c>
      <c r="G13" s="479">
        <v>0</v>
      </c>
      <c r="H13" s="479">
        <v>31</v>
      </c>
      <c r="I13" s="479">
        <v>0</v>
      </c>
      <c r="J13" s="479">
        <v>968</v>
      </c>
      <c r="K13" s="479">
        <v>968</v>
      </c>
      <c r="L13" s="479">
        <v>0</v>
      </c>
      <c r="M13" s="479">
        <v>0</v>
      </c>
      <c r="N13" s="479">
        <v>968</v>
      </c>
    </row>
    <row r="14" spans="1:14" x14ac:dyDescent="0.2">
      <c r="A14" s="478">
        <v>6</v>
      </c>
      <c r="B14" s="479" t="s">
        <v>901</v>
      </c>
      <c r="C14" s="479">
        <f>'Mode of cooking'!C15</f>
        <v>1620</v>
      </c>
      <c r="D14" s="479">
        <v>234</v>
      </c>
      <c r="E14" s="479">
        <v>105</v>
      </c>
      <c r="F14" s="479">
        <f t="shared" si="0"/>
        <v>1243</v>
      </c>
      <c r="G14" s="479">
        <v>38</v>
      </c>
      <c r="H14" s="479">
        <v>0</v>
      </c>
      <c r="I14" s="479">
        <v>1620</v>
      </c>
      <c r="J14" s="479">
        <v>1620</v>
      </c>
      <c r="K14" s="479">
        <v>1620</v>
      </c>
      <c r="L14" s="479">
        <v>0</v>
      </c>
      <c r="M14" s="479">
        <v>0</v>
      </c>
      <c r="N14" s="479">
        <v>0</v>
      </c>
    </row>
    <row r="15" spans="1:14" x14ac:dyDescent="0.2">
      <c r="A15" s="478">
        <v>7</v>
      </c>
      <c r="B15" s="479" t="s">
        <v>902</v>
      </c>
      <c r="C15" s="479">
        <f>'Mode of cooking'!C16</f>
        <v>1381</v>
      </c>
      <c r="D15" s="479">
        <v>0</v>
      </c>
      <c r="E15" s="479">
        <v>0</v>
      </c>
      <c r="F15" s="479">
        <f t="shared" si="0"/>
        <v>1381</v>
      </c>
      <c r="G15" s="479">
        <v>0</v>
      </c>
      <c r="H15" s="479">
        <v>0</v>
      </c>
      <c r="I15" s="479">
        <v>1381</v>
      </c>
      <c r="J15" s="479">
        <v>1381</v>
      </c>
      <c r="K15" s="479">
        <v>1381</v>
      </c>
      <c r="L15" s="479">
        <v>0</v>
      </c>
      <c r="M15" s="479">
        <v>0</v>
      </c>
      <c r="N15" s="479">
        <v>0</v>
      </c>
    </row>
    <row r="16" spans="1:14" x14ac:dyDescent="0.2">
      <c r="A16" s="478">
        <v>8</v>
      </c>
      <c r="B16" s="479" t="s">
        <v>903</v>
      </c>
      <c r="C16" s="479">
        <f>'Mode of cooking'!C17</f>
        <v>2066</v>
      </c>
      <c r="D16" s="479">
        <v>103</v>
      </c>
      <c r="E16" s="479">
        <v>99</v>
      </c>
      <c r="F16" s="479">
        <f t="shared" si="0"/>
        <v>1811</v>
      </c>
      <c r="G16" s="479">
        <v>53</v>
      </c>
      <c r="H16" s="479">
        <v>43</v>
      </c>
      <c r="I16" s="479">
        <v>1782</v>
      </c>
      <c r="J16" s="479">
        <v>1996</v>
      </c>
      <c r="K16" s="479">
        <v>1946</v>
      </c>
      <c r="L16" s="479">
        <v>689</v>
      </c>
      <c r="M16" s="479">
        <v>462</v>
      </c>
      <c r="N16" s="479">
        <v>1800</v>
      </c>
    </row>
    <row r="17" spans="1:14" x14ac:dyDescent="0.2">
      <c r="A17" s="478">
        <v>9</v>
      </c>
      <c r="B17" s="479" t="s">
        <v>904</v>
      </c>
      <c r="C17" s="479">
        <f>'Mode of cooking'!C18</f>
        <v>2499</v>
      </c>
      <c r="D17" s="479">
        <v>0</v>
      </c>
      <c r="E17" s="479">
        <v>0</v>
      </c>
      <c r="F17" s="479">
        <f t="shared" si="0"/>
        <v>2499</v>
      </c>
      <c r="G17" s="479">
        <v>0</v>
      </c>
      <c r="H17" s="479">
        <v>0</v>
      </c>
      <c r="I17" s="479">
        <v>0</v>
      </c>
      <c r="J17" s="479">
        <v>2499</v>
      </c>
      <c r="K17" s="572">
        <v>1999</v>
      </c>
      <c r="L17" s="479">
        <v>0</v>
      </c>
      <c r="M17" s="479">
        <v>0</v>
      </c>
      <c r="N17" s="572">
        <v>249</v>
      </c>
    </row>
    <row r="18" spans="1:14" x14ac:dyDescent="0.2">
      <c r="A18" s="478">
        <v>10</v>
      </c>
      <c r="B18" s="479" t="s">
        <v>905</v>
      </c>
      <c r="C18" s="479">
        <f>'Mode of cooking'!C19</f>
        <v>1037</v>
      </c>
      <c r="D18" s="479">
        <v>4</v>
      </c>
      <c r="E18" s="479">
        <v>8</v>
      </c>
      <c r="F18" s="479">
        <f t="shared" si="0"/>
        <v>1025</v>
      </c>
      <c r="G18" s="479">
        <v>0</v>
      </c>
      <c r="H18" s="479">
        <v>0</v>
      </c>
      <c r="I18" s="479">
        <v>1039</v>
      </c>
      <c r="J18" s="479">
        <v>1039</v>
      </c>
      <c r="K18" s="479">
        <v>478</v>
      </c>
      <c r="L18" s="479">
        <v>259</v>
      </c>
      <c r="M18" s="479">
        <v>33</v>
      </c>
      <c r="N18" s="479">
        <v>1039</v>
      </c>
    </row>
    <row r="19" spans="1:14" x14ac:dyDescent="0.2">
      <c r="A19" s="478">
        <v>11</v>
      </c>
      <c r="B19" s="479" t="s">
        <v>906</v>
      </c>
      <c r="C19" s="479">
        <f>'Mode of cooking'!C20</f>
        <v>1420</v>
      </c>
      <c r="D19" s="479">
        <v>0</v>
      </c>
      <c r="E19" s="479">
        <v>0</v>
      </c>
      <c r="F19" s="479">
        <f t="shared" si="0"/>
        <v>1420</v>
      </c>
      <c r="G19" s="479">
        <v>0</v>
      </c>
      <c r="H19" s="479">
        <v>0</v>
      </c>
      <c r="I19" s="479">
        <v>0</v>
      </c>
      <c r="J19" s="479">
        <v>0</v>
      </c>
      <c r="K19" s="479">
        <v>784</v>
      </c>
      <c r="L19" s="479">
        <v>142</v>
      </c>
      <c r="M19" s="479">
        <v>358</v>
      </c>
      <c r="N19" s="479">
        <v>142</v>
      </c>
    </row>
    <row r="20" spans="1:14" x14ac:dyDescent="0.2">
      <c r="A20" s="478">
        <v>12</v>
      </c>
      <c r="B20" s="480" t="s">
        <v>907</v>
      </c>
      <c r="C20" s="479">
        <f>'Mode of cooking'!C21</f>
        <v>1479</v>
      </c>
      <c r="D20" s="479">
        <v>118</v>
      </c>
      <c r="E20" s="479">
        <v>373</v>
      </c>
      <c r="F20" s="479">
        <f t="shared" si="0"/>
        <v>988</v>
      </c>
      <c r="G20" s="479">
        <v>0</v>
      </c>
      <c r="H20" s="479">
        <v>0</v>
      </c>
      <c r="I20" s="479">
        <v>0</v>
      </c>
      <c r="J20" s="479">
        <v>1479</v>
      </c>
      <c r="K20" s="479">
        <v>1479</v>
      </c>
      <c r="L20" s="479">
        <v>0</v>
      </c>
      <c r="M20" s="479">
        <v>0</v>
      </c>
      <c r="N20" s="479">
        <v>0</v>
      </c>
    </row>
    <row r="21" spans="1:14" x14ac:dyDescent="0.2">
      <c r="A21" s="478">
        <v>13</v>
      </c>
      <c r="B21" s="479" t="s">
        <v>908</v>
      </c>
      <c r="C21" s="479">
        <f>'Mode of cooking'!C22</f>
        <v>587</v>
      </c>
      <c r="D21" s="479">
        <v>128</v>
      </c>
      <c r="E21" s="479">
        <v>288</v>
      </c>
      <c r="F21" s="479">
        <f t="shared" si="0"/>
        <v>171</v>
      </c>
      <c r="G21" s="479">
        <v>0</v>
      </c>
      <c r="H21" s="479">
        <v>28</v>
      </c>
      <c r="I21" s="572">
        <v>0</v>
      </c>
      <c r="J21" s="479">
        <v>587</v>
      </c>
      <c r="K21" s="479">
        <v>587</v>
      </c>
      <c r="L21" s="479">
        <v>0</v>
      </c>
      <c r="M21" s="479">
        <v>0</v>
      </c>
      <c r="N21" s="479">
        <v>587</v>
      </c>
    </row>
    <row r="22" spans="1:14" x14ac:dyDescent="0.2">
      <c r="A22" s="478">
        <v>14</v>
      </c>
      <c r="B22" s="479" t="s">
        <v>909</v>
      </c>
      <c r="C22" s="479">
        <f>'Mode of cooking'!C23</f>
        <v>659</v>
      </c>
      <c r="D22" s="479">
        <v>137</v>
      </c>
      <c r="E22" s="479">
        <v>0</v>
      </c>
      <c r="F22" s="479">
        <f t="shared" si="0"/>
        <v>522</v>
      </c>
      <c r="G22" s="479">
        <v>0</v>
      </c>
      <c r="H22" s="479">
        <v>0</v>
      </c>
      <c r="I22" s="572">
        <v>659</v>
      </c>
      <c r="J22" s="479">
        <v>659</v>
      </c>
      <c r="K22" s="479">
        <v>239</v>
      </c>
      <c r="L22" s="479">
        <v>81</v>
      </c>
      <c r="M22" s="479">
        <v>114</v>
      </c>
      <c r="N22" s="479">
        <v>225</v>
      </c>
    </row>
    <row r="23" spans="1:14" x14ac:dyDescent="0.2">
      <c r="A23" s="478">
        <v>15</v>
      </c>
      <c r="B23" s="479" t="s">
        <v>910</v>
      </c>
      <c r="C23" s="479">
        <f>'Mode of cooking'!C24</f>
        <v>1539</v>
      </c>
      <c r="D23" s="479">
        <v>0</v>
      </c>
      <c r="E23" s="479">
        <v>0</v>
      </c>
      <c r="F23" s="479">
        <f t="shared" si="0"/>
        <v>1539</v>
      </c>
      <c r="G23" s="479">
        <v>0</v>
      </c>
      <c r="H23" s="479">
        <v>0</v>
      </c>
      <c r="I23" s="572">
        <v>1542</v>
      </c>
      <c r="J23" s="479">
        <v>1542</v>
      </c>
      <c r="K23" s="479">
        <v>1542</v>
      </c>
      <c r="L23" s="479">
        <v>1542</v>
      </c>
      <c r="M23" s="479">
        <v>1542</v>
      </c>
      <c r="N23" s="479">
        <v>1542</v>
      </c>
    </row>
    <row r="24" spans="1:14" x14ac:dyDescent="0.2">
      <c r="A24" s="478">
        <v>16</v>
      </c>
      <c r="B24" s="479" t="s">
        <v>911</v>
      </c>
      <c r="C24" s="479">
        <f>'Mode of cooking'!C25</f>
        <v>3136</v>
      </c>
      <c r="D24" s="479">
        <v>335</v>
      </c>
      <c r="E24" s="479">
        <v>142</v>
      </c>
      <c r="F24" s="479">
        <f t="shared" si="0"/>
        <v>2659</v>
      </c>
      <c r="G24" s="479">
        <v>0</v>
      </c>
      <c r="H24" s="479">
        <v>0</v>
      </c>
      <c r="I24" s="572">
        <v>3136</v>
      </c>
      <c r="J24" s="479">
        <v>3136</v>
      </c>
      <c r="K24" s="479">
        <v>3136</v>
      </c>
      <c r="L24" s="479">
        <v>3136</v>
      </c>
      <c r="M24" s="479">
        <v>3136</v>
      </c>
      <c r="N24" s="479">
        <v>3136</v>
      </c>
    </row>
    <row r="25" spans="1:14" x14ac:dyDescent="0.2">
      <c r="A25" s="478">
        <v>17</v>
      </c>
      <c r="B25" s="479" t="s">
        <v>912</v>
      </c>
      <c r="C25" s="479">
        <f>'Mode of cooking'!C26</f>
        <v>1694</v>
      </c>
      <c r="D25" s="479">
        <v>30</v>
      </c>
      <c r="E25" s="479">
        <v>103</v>
      </c>
      <c r="F25" s="479">
        <f t="shared" si="0"/>
        <v>1534</v>
      </c>
      <c r="G25" s="479">
        <v>27</v>
      </c>
      <c r="H25" s="479">
        <v>189</v>
      </c>
      <c r="I25" s="572">
        <v>0</v>
      </c>
      <c r="J25" s="479">
        <v>1694</v>
      </c>
      <c r="K25" s="479">
        <v>1694</v>
      </c>
      <c r="L25" s="479">
        <v>0</v>
      </c>
      <c r="M25" s="479">
        <v>0</v>
      </c>
      <c r="N25" s="479">
        <v>1694</v>
      </c>
    </row>
    <row r="26" spans="1:14" x14ac:dyDescent="0.2">
      <c r="A26" s="478">
        <v>18</v>
      </c>
      <c r="B26" s="479" t="s">
        <v>913</v>
      </c>
      <c r="C26" s="479">
        <f>'Mode of cooking'!C27</f>
        <v>1522</v>
      </c>
      <c r="D26" s="479">
        <v>45</v>
      </c>
      <c r="E26" s="479">
        <v>25</v>
      </c>
      <c r="F26" s="479">
        <f t="shared" si="0"/>
        <v>1452</v>
      </c>
      <c r="G26" s="479">
        <v>0</v>
      </c>
      <c r="H26" s="479">
        <v>34</v>
      </c>
      <c r="I26" s="572">
        <v>1517</v>
      </c>
      <c r="J26" s="479">
        <v>1517</v>
      </c>
      <c r="K26" s="479">
        <v>1032</v>
      </c>
      <c r="L26" s="479">
        <v>434</v>
      </c>
      <c r="M26" s="479">
        <v>484</v>
      </c>
      <c r="N26" s="479">
        <v>735</v>
      </c>
    </row>
    <row r="27" spans="1:14" x14ac:dyDescent="0.2">
      <c r="A27" s="478">
        <v>19</v>
      </c>
      <c r="B27" s="479" t="s">
        <v>914</v>
      </c>
      <c r="C27" s="479">
        <f>'Mode of cooking'!C28</f>
        <v>2314</v>
      </c>
      <c r="D27" s="479">
        <v>0</v>
      </c>
      <c r="E27" s="479">
        <v>313</v>
      </c>
      <c r="F27" s="479">
        <f t="shared" si="0"/>
        <v>2001</v>
      </c>
      <c r="G27" s="479">
        <v>0</v>
      </c>
      <c r="H27" s="479">
        <v>0</v>
      </c>
      <c r="I27" s="572">
        <v>0</v>
      </c>
      <c r="J27" s="479">
        <v>2314</v>
      </c>
      <c r="K27" s="479">
        <v>2314</v>
      </c>
      <c r="L27" s="479">
        <v>233</v>
      </c>
      <c r="M27" s="479">
        <v>0</v>
      </c>
      <c r="N27" s="479">
        <v>2314</v>
      </c>
    </row>
    <row r="28" spans="1:14" x14ac:dyDescent="0.2">
      <c r="A28" s="478">
        <v>20</v>
      </c>
      <c r="B28" s="479" t="s">
        <v>915</v>
      </c>
      <c r="C28" s="479">
        <f>'Mode of cooking'!C29</f>
        <v>1015</v>
      </c>
      <c r="D28" s="479">
        <v>0</v>
      </c>
      <c r="E28" s="479">
        <v>59</v>
      </c>
      <c r="F28" s="479">
        <f t="shared" si="0"/>
        <v>956</v>
      </c>
      <c r="G28" s="479">
        <v>0</v>
      </c>
      <c r="H28" s="479">
        <v>0</v>
      </c>
      <c r="I28" s="572">
        <v>0</v>
      </c>
      <c r="J28" s="479">
        <v>0</v>
      </c>
      <c r="K28" s="479">
        <v>1015</v>
      </c>
      <c r="L28" s="479">
        <v>1015</v>
      </c>
      <c r="M28" s="479">
        <v>1015</v>
      </c>
      <c r="N28" s="479">
        <v>1015</v>
      </c>
    </row>
    <row r="29" spans="1:14" x14ac:dyDescent="0.2">
      <c r="A29" s="478">
        <v>21</v>
      </c>
      <c r="B29" s="479" t="s">
        <v>916</v>
      </c>
      <c r="C29" s="479">
        <f>'Mode of cooking'!C30</f>
        <v>1286</v>
      </c>
      <c r="D29" s="479">
        <v>52</v>
      </c>
      <c r="E29" s="479">
        <v>0</v>
      </c>
      <c r="F29" s="479">
        <f t="shared" si="0"/>
        <v>1234</v>
      </c>
      <c r="G29" s="479">
        <v>0</v>
      </c>
      <c r="H29" s="479">
        <v>0</v>
      </c>
      <c r="I29" s="572">
        <v>1286</v>
      </c>
      <c r="J29" s="479">
        <v>1286</v>
      </c>
      <c r="K29" s="479">
        <v>154</v>
      </c>
      <c r="L29" s="479">
        <v>303</v>
      </c>
      <c r="M29" s="479">
        <v>50</v>
      </c>
      <c r="N29" s="479">
        <v>1061</v>
      </c>
    </row>
    <row r="30" spans="1:14" x14ac:dyDescent="0.2">
      <c r="A30" s="478">
        <v>22</v>
      </c>
      <c r="B30" s="479" t="s">
        <v>917</v>
      </c>
      <c r="C30" s="479">
        <f>'Mode of cooking'!C31</f>
        <v>1011</v>
      </c>
      <c r="D30" s="479">
        <v>0</v>
      </c>
      <c r="E30" s="479">
        <v>2</v>
      </c>
      <c r="F30" s="479">
        <f t="shared" si="0"/>
        <v>955</v>
      </c>
      <c r="G30" s="479">
        <v>54</v>
      </c>
      <c r="H30" s="479">
        <v>3</v>
      </c>
      <c r="I30" s="572">
        <v>1011</v>
      </c>
      <c r="J30" s="479">
        <v>1011</v>
      </c>
      <c r="K30" s="479">
        <v>1011</v>
      </c>
      <c r="L30" s="479">
        <v>708</v>
      </c>
      <c r="M30" s="479">
        <v>832</v>
      </c>
      <c r="N30" s="479">
        <v>1011</v>
      </c>
    </row>
    <row r="31" spans="1:14" x14ac:dyDescent="0.2">
      <c r="A31" s="478">
        <v>23</v>
      </c>
      <c r="B31" s="479" t="s">
        <v>918</v>
      </c>
      <c r="C31" s="479">
        <f>'Mode of cooking'!C32</f>
        <v>1540</v>
      </c>
      <c r="D31" s="479">
        <v>0</v>
      </c>
      <c r="E31" s="479">
        <v>0</v>
      </c>
      <c r="F31" s="479">
        <f t="shared" si="0"/>
        <v>1419</v>
      </c>
      <c r="G31" s="479">
        <v>121</v>
      </c>
      <c r="H31" s="479">
        <v>0</v>
      </c>
      <c r="I31" s="572">
        <v>0</v>
      </c>
      <c r="J31" s="479">
        <v>1540</v>
      </c>
      <c r="K31" s="479">
        <v>1540</v>
      </c>
      <c r="L31" s="479">
        <v>0</v>
      </c>
      <c r="M31" s="479">
        <v>0</v>
      </c>
      <c r="N31" s="479">
        <v>1540</v>
      </c>
    </row>
    <row r="32" spans="1:14" x14ac:dyDescent="0.2">
      <c r="A32" s="478">
        <v>24</v>
      </c>
      <c r="B32" s="480" t="s">
        <v>919</v>
      </c>
      <c r="C32" s="479">
        <f>'Mode of cooking'!C33</f>
        <v>1945</v>
      </c>
      <c r="D32" s="479">
        <v>0</v>
      </c>
      <c r="E32" s="479">
        <v>313</v>
      </c>
      <c r="F32" s="479">
        <f t="shared" si="0"/>
        <v>1632</v>
      </c>
      <c r="G32" s="479">
        <v>0</v>
      </c>
      <c r="H32" s="479">
        <v>0</v>
      </c>
      <c r="I32" s="572">
        <v>0</v>
      </c>
      <c r="J32" s="479">
        <v>1945</v>
      </c>
      <c r="K32" s="479">
        <v>1945</v>
      </c>
      <c r="L32" s="479">
        <v>233</v>
      </c>
      <c r="M32" s="479">
        <v>0</v>
      </c>
      <c r="N32" s="479">
        <v>1945</v>
      </c>
    </row>
    <row r="33" spans="1:14" s="345" customFormat="1" ht="15" x14ac:dyDescent="0.25">
      <c r="A33" s="1046" t="s">
        <v>18</v>
      </c>
      <c r="B33" s="1046"/>
      <c r="C33" s="573">
        <f t="shared" ref="C33:N33" si="1">SUM(C9:C32)</f>
        <v>35773</v>
      </c>
      <c r="D33" s="573">
        <f>SUM(D9:D32)</f>
        <v>1509</v>
      </c>
      <c r="E33" s="573">
        <f>SUM(E9:E32)</f>
        <v>2404</v>
      </c>
      <c r="F33" s="573">
        <f>SUM(F9:F32)</f>
        <v>31320</v>
      </c>
      <c r="G33" s="573">
        <f>SUM(G9:G32)</f>
        <v>540</v>
      </c>
      <c r="H33" s="573">
        <f t="shared" si="1"/>
        <v>328</v>
      </c>
      <c r="I33" s="573">
        <f t="shared" si="1"/>
        <v>17469</v>
      </c>
      <c r="J33" s="573">
        <f t="shared" si="1"/>
        <v>30881</v>
      </c>
      <c r="K33" s="573">
        <f t="shared" si="1"/>
        <v>29854</v>
      </c>
      <c r="L33" s="573">
        <f t="shared" si="1"/>
        <v>10306</v>
      </c>
      <c r="M33" s="573">
        <f t="shared" si="1"/>
        <v>11058</v>
      </c>
      <c r="N33" s="573">
        <f t="shared" si="1"/>
        <v>23793</v>
      </c>
    </row>
    <row r="37" spans="1:14" x14ac:dyDescent="0.2">
      <c r="A37" s="14" t="s">
        <v>22</v>
      </c>
      <c r="B37" s="1029"/>
      <c r="C37" s="1029"/>
      <c r="D37" s="1029"/>
      <c r="E37" s="1029"/>
      <c r="F37" s="1029"/>
      <c r="G37" s="1029"/>
      <c r="H37" s="1029"/>
      <c r="I37" s="630"/>
      <c r="J37" s="630"/>
    </row>
    <row r="38" spans="1:14" x14ac:dyDescent="0.2">
      <c r="A38" s="633"/>
      <c r="B38" s="1029"/>
      <c r="C38" s="1029"/>
      <c r="D38" s="1029"/>
      <c r="E38" s="1029"/>
      <c r="F38" s="1029"/>
      <c r="G38" s="1029"/>
      <c r="H38" s="1029"/>
      <c r="I38" s="821"/>
      <c r="J38" s="821"/>
      <c r="L38" s="821" t="s">
        <v>12</v>
      </c>
      <c r="M38" s="821"/>
    </row>
    <row r="39" spans="1:14" ht="12.75" customHeight="1" x14ac:dyDescent="0.2">
      <c r="A39" s="641"/>
      <c r="B39" s="641"/>
      <c r="C39" s="641"/>
      <c r="D39" s="641"/>
      <c r="E39" s="641"/>
      <c r="F39" s="641"/>
      <c r="G39" s="641"/>
      <c r="H39" s="641"/>
      <c r="I39" s="641"/>
      <c r="J39" s="641"/>
      <c r="L39" s="821" t="s">
        <v>13</v>
      </c>
      <c r="M39" s="821"/>
      <c r="N39" s="821"/>
    </row>
    <row r="40" spans="1:14" ht="12.75" customHeight="1" x14ac:dyDescent="0.2">
      <c r="A40" s="641"/>
      <c r="B40" s="641"/>
      <c r="C40" s="641"/>
      <c r="D40" s="641"/>
      <c r="E40" s="641"/>
      <c r="F40" s="641"/>
      <c r="G40" s="641"/>
      <c r="H40" s="641"/>
      <c r="I40" s="641"/>
      <c r="J40" s="641"/>
      <c r="L40" s="821" t="s">
        <v>19</v>
      </c>
      <c r="M40" s="821"/>
      <c r="N40" s="821"/>
    </row>
    <row r="41" spans="1:14" x14ac:dyDescent="0.2">
      <c r="A41"/>
      <c r="B41" s="14"/>
      <c r="C41" s="14"/>
      <c r="D41" s="14"/>
      <c r="E41" s="14"/>
      <c r="F41" s="14"/>
      <c r="G41" s="633"/>
      <c r="H41" s="33"/>
      <c r="I41" s="33"/>
      <c r="J41" s="633"/>
      <c r="L41" s="33" t="s">
        <v>23</v>
      </c>
    </row>
  </sheetData>
  <mergeCells count="17">
    <mergeCell ref="L38:M38"/>
    <mergeCell ref="L39:N39"/>
    <mergeCell ref="L40:N40"/>
    <mergeCell ref="A33:B33"/>
    <mergeCell ref="D6:H6"/>
    <mergeCell ref="C6:C7"/>
    <mergeCell ref="B37:H38"/>
    <mergeCell ref="I38:J38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2" top="0.23622047244094491" bottom="0" header="0.31496062992125984" footer="0.31496062992125984"/>
  <pageSetup paperSize="9" scale="9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40"/>
  <sheetViews>
    <sheetView topLeftCell="A10" zoomScaleNormal="100" zoomScaleSheetLayoutView="85" workbookViewId="0">
      <selection activeCell="F33" sqref="F33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918" t="s">
        <v>0</v>
      </c>
      <c r="B1" s="918"/>
      <c r="C1" s="918"/>
      <c r="D1" s="918"/>
      <c r="E1" s="918"/>
      <c r="F1" s="918"/>
      <c r="G1" s="918"/>
      <c r="H1" s="209" t="s">
        <v>514</v>
      </c>
    </row>
    <row r="2" spans="1:8" ht="21" x14ac:dyDescent="0.35">
      <c r="A2" s="919" t="s">
        <v>740</v>
      </c>
      <c r="B2" s="919"/>
      <c r="C2" s="919"/>
      <c r="D2" s="919"/>
      <c r="E2" s="919"/>
      <c r="F2" s="919"/>
      <c r="G2" s="919"/>
    </row>
    <row r="3" spans="1:8" ht="15" x14ac:dyDescent="0.3">
      <c r="A3" s="171"/>
      <c r="B3" s="171"/>
      <c r="C3" s="171"/>
      <c r="D3" s="171"/>
      <c r="E3" s="171"/>
      <c r="F3" s="171"/>
      <c r="G3" s="171"/>
    </row>
    <row r="4" spans="1:8" ht="18" x14ac:dyDescent="0.35">
      <c r="A4" s="918" t="s">
        <v>513</v>
      </c>
      <c r="B4" s="918"/>
      <c r="C4" s="918"/>
      <c r="D4" s="918"/>
      <c r="E4" s="918"/>
      <c r="F4" s="918"/>
      <c r="G4" s="918"/>
    </row>
    <row r="5" spans="1:8" ht="15" x14ac:dyDescent="0.3">
      <c r="A5" s="172" t="s">
        <v>921</v>
      </c>
      <c r="B5" s="172"/>
      <c r="C5" s="172"/>
      <c r="D5" s="172"/>
      <c r="E5" s="172"/>
      <c r="F5" s="172"/>
      <c r="G5" s="1049" t="s">
        <v>830</v>
      </c>
      <c r="H5" s="1049"/>
    </row>
    <row r="6" spans="1:8" ht="21.75" customHeight="1" x14ac:dyDescent="0.2">
      <c r="A6" s="1009" t="s">
        <v>2</v>
      </c>
      <c r="B6" s="1009" t="s">
        <v>493</v>
      </c>
      <c r="C6" s="834" t="s">
        <v>38</v>
      </c>
      <c r="D6" s="834" t="s">
        <v>498</v>
      </c>
      <c r="E6" s="834"/>
      <c r="F6" s="834" t="s">
        <v>499</v>
      </c>
      <c r="G6" s="834"/>
      <c r="H6" s="1009" t="s">
        <v>221</v>
      </c>
    </row>
    <row r="7" spans="1:8" ht="26.25" customHeight="1" x14ac:dyDescent="0.2">
      <c r="A7" s="1009"/>
      <c r="B7" s="1009"/>
      <c r="C7" s="834"/>
      <c r="D7" s="5" t="s">
        <v>494</v>
      </c>
      <c r="E7" s="5" t="s">
        <v>495</v>
      </c>
      <c r="F7" s="65" t="s">
        <v>496</v>
      </c>
      <c r="G7" s="5" t="s">
        <v>497</v>
      </c>
      <c r="H7" s="1009"/>
    </row>
    <row r="8" spans="1:8" ht="15" x14ac:dyDescent="0.2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  <c r="H8" s="175">
        <v>8</v>
      </c>
    </row>
    <row r="9" spans="1:8" x14ac:dyDescent="0.2">
      <c r="A9" s="17">
        <v>1</v>
      </c>
      <c r="B9" s="824" t="s">
        <v>1068</v>
      </c>
      <c r="C9" s="482" t="s">
        <v>896</v>
      </c>
      <c r="D9" s="18">
        <v>10</v>
      </c>
      <c r="E9" s="18">
        <f>D9</f>
        <v>10</v>
      </c>
      <c r="F9" s="18">
        <v>0</v>
      </c>
      <c r="G9" s="18">
        <v>0</v>
      </c>
      <c r="H9" s="18"/>
    </row>
    <row r="10" spans="1:8" x14ac:dyDescent="0.2">
      <c r="A10" s="17">
        <v>2</v>
      </c>
      <c r="B10" s="824"/>
      <c r="C10" s="482" t="s">
        <v>897</v>
      </c>
      <c r="D10" s="18">
        <v>5</v>
      </c>
      <c r="E10" s="18">
        <f t="shared" ref="E10:E32" si="0">D10</f>
        <v>5</v>
      </c>
      <c r="F10" s="18">
        <v>0</v>
      </c>
      <c r="G10" s="18">
        <v>0</v>
      </c>
      <c r="H10" s="18"/>
    </row>
    <row r="11" spans="1:8" x14ac:dyDescent="0.2">
      <c r="A11" s="17">
        <v>3</v>
      </c>
      <c r="B11" s="824"/>
      <c r="C11" s="482" t="s">
        <v>898</v>
      </c>
      <c r="D11" s="18">
        <v>10</v>
      </c>
      <c r="E11" s="18">
        <f t="shared" si="0"/>
        <v>10</v>
      </c>
      <c r="F11" s="18">
        <v>0</v>
      </c>
      <c r="G11" s="18">
        <v>0</v>
      </c>
      <c r="H11" s="18"/>
    </row>
    <row r="12" spans="1:8" x14ac:dyDescent="0.2">
      <c r="A12" s="17">
        <v>4</v>
      </c>
      <c r="B12" s="824"/>
      <c r="C12" s="482" t="s">
        <v>899</v>
      </c>
      <c r="D12" s="18">
        <v>5</v>
      </c>
      <c r="E12" s="18">
        <f t="shared" si="0"/>
        <v>5</v>
      </c>
      <c r="F12" s="18">
        <v>0</v>
      </c>
      <c r="G12" s="18">
        <v>0</v>
      </c>
      <c r="H12" s="18"/>
    </row>
    <row r="13" spans="1:8" x14ac:dyDescent="0.2">
      <c r="A13" s="17">
        <v>5</v>
      </c>
      <c r="B13" s="824"/>
      <c r="C13" s="482" t="s">
        <v>900</v>
      </c>
      <c r="D13" s="18">
        <v>10</v>
      </c>
      <c r="E13" s="18">
        <f t="shared" si="0"/>
        <v>10</v>
      </c>
      <c r="F13" s="18">
        <v>0</v>
      </c>
      <c r="G13" s="18">
        <v>0</v>
      </c>
      <c r="H13" s="18"/>
    </row>
    <row r="14" spans="1:8" x14ac:dyDescent="0.2">
      <c r="A14" s="17">
        <v>6</v>
      </c>
      <c r="B14" s="824"/>
      <c r="C14" s="482" t="s">
        <v>901</v>
      </c>
      <c r="D14" s="18">
        <v>10</v>
      </c>
      <c r="E14" s="18">
        <f t="shared" si="0"/>
        <v>10</v>
      </c>
      <c r="F14" s="18">
        <v>0</v>
      </c>
      <c r="G14" s="18">
        <v>0</v>
      </c>
      <c r="H14" s="18"/>
    </row>
    <row r="15" spans="1:8" x14ac:dyDescent="0.2">
      <c r="A15" s="17">
        <v>7</v>
      </c>
      <c r="B15" s="824"/>
      <c r="C15" s="482" t="s">
        <v>902</v>
      </c>
      <c r="D15" s="18">
        <v>5</v>
      </c>
      <c r="E15" s="18">
        <f t="shared" si="0"/>
        <v>5</v>
      </c>
      <c r="F15" s="18">
        <f t="shared" ref="F15:F28" si="1">E15-G15</f>
        <v>2</v>
      </c>
      <c r="G15" s="18">
        <v>3</v>
      </c>
      <c r="H15" s="18"/>
    </row>
    <row r="16" spans="1:8" x14ac:dyDescent="0.2">
      <c r="A16" s="17">
        <v>8</v>
      </c>
      <c r="B16" s="824"/>
      <c r="C16" s="482" t="s">
        <v>903</v>
      </c>
      <c r="D16" s="18">
        <v>10</v>
      </c>
      <c r="E16" s="18">
        <f t="shared" si="0"/>
        <v>10</v>
      </c>
      <c r="F16" s="18">
        <f t="shared" si="1"/>
        <v>6</v>
      </c>
      <c r="G16" s="18">
        <v>4</v>
      </c>
      <c r="H16" s="18"/>
    </row>
    <row r="17" spans="1:8" x14ac:dyDescent="0.2">
      <c r="A17" s="17">
        <v>9</v>
      </c>
      <c r="B17" s="824"/>
      <c r="C17" s="482" t="s">
        <v>904</v>
      </c>
      <c r="D17" s="18">
        <v>10</v>
      </c>
      <c r="E17" s="18">
        <f t="shared" si="0"/>
        <v>10</v>
      </c>
      <c r="F17" s="18">
        <f t="shared" si="1"/>
        <v>6</v>
      </c>
      <c r="G17" s="18">
        <v>4</v>
      </c>
      <c r="H17" s="18"/>
    </row>
    <row r="18" spans="1:8" x14ac:dyDescent="0.2">
      <c r="A18" s="17">
        <v>10</v>
      </c>
      <c r="B18" s="824"/>
      <c r="C18" s="482" t="s">
        <v>905</v>
      </c>
      <c r="D18" s="18">
        <v>5</v>
      </c>
      <c r="E18" s="18">
        <f t="shared" si="0"/>
        <v>5</v>
      </c>
      <c r="F18" s="18">
        <f t="shared" si="1"/>
        <v>3</v>
      </c>
      <c r="G18" s="18">
        <v>2</v>
      </c>
      <c r="H18" s="18"/>
    </row>
    <row r="19" spans="1:8" x14ac:dyDescent="0.2">
      <c r="A19" s="17">
        <v>11</v>
      </c>
      <c r="B19" s="824"/>
      <c r="C19" s="482" t="s">
        <v>906</v>
      </c>
      <c r="D19" s="18">
        <v>10</v>
      </c>
      <c r="E19" s="18">
        <f t="shared" si="0"/>
        <v>10</v>
      </c>
      <c r="F19" s="18">
        <f t="shared" si="1"/>
        <v>8</v>
      </c>
      <c r="G19" s="18">
        <v>2</v>
      </c>
      <c r="H19" s="18"/>
    </row>
    <row r="20" spans="1:8" x14ac:dyDescent="0.2">
      <c r="A20" s="17">
        <v>12</v>
      </c>
      <c r="B20" s="824"/>
      <c r="C20" s="269" t="s">
        <v>907</v>
      </c>
      <c r="D20" s="18">
        <v>10</v>
      </c>
      <c r="E20" s="18">
        <f t="shared" si="0"/>
        <v>10</v>
      </c>
      <c r="F20" s="18">
        <v>0</v>
      </c>
      <c r="G20" s="18">
        <v>0</v>
      </c>
      <c r="H20" s="18"/>
    </row>
    <row r="21" spans="1:8" x14ac:dyDescent="0.2">
      <c r="A21" s="17">
        <v>13</v>
      </c>
      <c r="B21" s="824"/>
      <c r="C21" s="482" t="s">
        <v>908</v>
      </c>
      <c r="D21" s="18">
        <v>10</v>
      </c>
      <c r="E21" s="18">
        <f t="shared" si="0"/>
        <v>10</v>
      </c>
      <c r="F21" s="18">
        <v>0</v>
      </c>
      <c r="G21" s="18">
        <v>0</v>
      </c>
      <c r="H21" s="18"/>
    </row>
    <row r="22" spans="1:8" x14ac:dyDescent="0.2">
      <c r="A22" s="17">
        <v>14</v>
      </c>
      <c r="B22" s="824"/>
      <c r="C22" s="482" t="s">
        <v>909</v>
      </c>
      <c r="D22" s="18">
        <v>5</v>
      </c>
      <c r="E22" s="18">
        <f t="shared" si="0"/>
        <v>5</v>
      </c>
      <c r="F22" s="18">
        <v>0</v>
      </c>
      <c r="G22" s="18">
        <v>0</v>
      </c>
      <c r="H22" s="18"/>
    </row>
    <row r="23" spans="1:8" x14ac:dyDescent="0.2">
      <c r="A23" s="17">
        <v>15</v>
      </c>
      <c r="B23" s="824"/>
      <c r="C23" s="482" t="s">
        <v>910</v>
      </c>
      <c r="D23" s="18">
        <v>5</v>
      </c>
      <c r="E23" s="18">
        <f t="shared" si="0"/>
        <v>5</v>
      </c>
      <c r="F23" s="18">
        <v>0</v>
      </c>
      <c r="G23" s="18">
        <v>0</v>
      </c>
      <c r="H23" s="18"/>
    </row>
    <row r="24" spans="1:8" x14ac:dyDescent="0.2">
      <c r="A24" s="17">
        <v>16</v>
      </c>
      <c r="B24" s="824"/>
      <c r="C24" s="482" t="s">
        <v>911</v>
      </c>
      <c r="D24" s="18">
        <v>10</v>
      </c>
      <c r="E24" s="18">
        <f t="shared" si="0"/>
        <v>10</v>
      </c>
      <c r="F24" s="18">
        <v>0</v>
      </c>
      <c r="G24" s="18">
        <v>0</v>
      </c>
      <c r="H24" s="18"/>
    </row>
    <row r="25" spans="1:8" x14ac:dyDescent="0.2">
      <c r="A25" s="17">
        <v>17</v>
      </c>
      <c r="B25" s="824"/>
      <c r="C25" s="482" t="s">
        <v>912</v>
      </c>
      <c r="D25" s="18">
        <v>10</v>
      </c>
      <c r="E25" s="18">
        <f t="shared" si="0"/>
        <v>10</v>
      </c>
      <c r="F25" s="18">
        <v>0</v>
      </c>
      <c r="G25" s="18">
        <v>0</v>
      </c>
      <c r="H25" s="18"/>
    </row>
    <row r="26" spans="1:8" x14ac:dyDescent="0.2">
      <c r="A26" s="17">
        <v>18</v>
      </c>
      <c r="B26" s="824"/>
      <c r="C26" s="482" t="s">
        <v>913</v>
      </c>
      <c r="D26" s="18">
        <v>10</v>
      </c>
      <c r="E26" s="18">
        <f t="shared" si="0"/>
        <v>10</v>
      </c>
      <c r="F26" s="18">
        <v>0</v>
      </c>
      <c r="G26" s="18">
        <v>0</v>
      </c>
      <c r="H26" s="18"/>
    </row>
    <row r="27" spans="1:8" x14ac:dyDescent="0.2">
      <c r="A27" s="17">
        <v>19</v>
      </c>
      <c r="B27" s="824"/>
      <c r="C27" s="482" t="s">
        <v>914</v>
      </c>
      <c r="D27" s="18">
        <v>10</v>
      </c>
      <c r="E27" s="18">
        <f t="shared" si="0"/>
        <v>10</v>
      </c>
      <c r="F27" s="18">
        <f t="shared" si="1"/>
        <v>9</v>
      </c>
      <c r="G27" s="18">
        <v>1</v>
      </c>
      <c r="H27" s="18"/>
    </row>
    <row r="28" spans="1:8" x14ac:dyDescent="0.2">
      <c r="A28" s="17">
        <v>20</v>
      </c>
      <c r="B28" s="824"/>
      <c r="C28" s="482" t="s">
        <v>915</v>
      </c>
      <c r="D28" s="18">
        <v>10</v>
      </c>
      <c r="E28" s="18">
        <f t="shared" si="0"/>
        <v>10</v>
      </c>
      <c r="F28" s="18">
        <f t="shared" si="1"/>
        <v>4</v>
      </c>
      <c r="G28" s="18">
        <v>6</v>
      </c>
      <c r="H28" s="18"/>
    </row>
    <row r="29" spans="1:8" x14ac:dyDescent="0.2">
      <c r="A29" s="17">
        <v>21</v>
      </c>
      <c r="B29" s="824"/>
      <c r="C29" s="482" t="s">
        <v>916</v>
      </c>
      <c r="D29" s="18">
        <v>10</v>
      </c>
      <c r="E29" s="18">
        <f t="shared" si="0"/>
        <v>10</v>
      </c>
      <c r="F29" s="18">
        <v>0</v>
      </c>
      <c r="G29" s="18">
        <v>0</v>
      </c>
      <c r="H29" s="18"/>
    </row>
    <row r="30" spans="1:8" x14ac:dyDescent="0.2">
      <c r="A30" s="17">
        <v>22</v>
      </c>
      <c r="B30" s="824"/>
      <c r="C30" s="482" t="s">
        <v>917</v>
      </c>
      <c r="D30" s="18">
        <v>10</v>
      </c>
      <c r="E30" s="18">
        <f t="shared" si="0"/>
        <v>10</v>
      </c>
      <c r="F30" s="18">
        <v>0</v>
      </c>
      <c r="G30" s="18">
        <v>0</v>
      </c>
      <c r="H30" s="18"/>
    </row>
    <row r="31" spans="1:8" x14ac:dyDescent="0.2">
      <c r="A31" s="17">
        <v>23</v>
      </c>
      <c r="B31" s="824"/>
      <c r="C31" s="482" t="s">
        <v>918</v>
      </c>
      <c r="D31" s="18">
        <v>10</v>
      </c>
      <c r="E31" s="18">
        <f t="shared" si="0"/>
        <v>10</v>
      </c>
      <c r="F31" s="18">
        <v>0</v>
      </c>
      <c r="G31" s="18">
        <v>0</v>
      </c>
      <c r="H31" s="18"/>
    </row>
    <row r="32" spans="1:8" x14ac:dyDescent="0.2">
      <c r="A32" s="17">
        <v>24</v>
      </c>
      <c r="B32" s="824"/>
      <c r="C32" s="18" t="s">
        <v>919</v>
      </c>
      <c r="D32" s="18">
        <v>10</v>
      </c>
      <c r="E32" s="18">
        <f t="shared" si="0"/>
        <v>10</v>
      </c>
      <c r="F32" s="18">
        <v>0</v>
      </c>
      <c r="G32" s="18">
        <v>0</v>
      </c>
      <c r="H32" s="18"/>
    </row>
    <row r="33" spans="1:10" s="14" customFormat="1" x14ac:dyDescent="0.2">
      <c r="A33" s="802" t="s">
        <v>18</v>
      </c>
      <c r="B33" s="802"/>
      <c r="C33" s="27"/>
      <c r="D33" s="27">
        <f>SUM(D9:D32)</f>
        <v>210</v>
      </c>
      <c r="E33" s="27">
        <f>SUM(E9:E32)</f>
        <v>210</v>
      </c>
      <c r="F33" s="27">
        <f>SUM(F9:F32)</f>
        <v>38</v>
      </c>
      <c r="G33" s="27">
        <f>SUM(G9:G32)</f>
        <v>22</v>
      </c>
      <c r="H33" s="27"/>
    </row>
    <row r="35" spans="1:10" ht="31.5" customHeight="1" x14ac:dyDescent="0.2"/>
    <row r="36" spans="1:10" ht="12.75" customHeight="1" x14ac:dyDescent="0.2">
      <c r="A36" s="14" t="s">
        <v>22</v>
      </c>
      <c r="B36" s="34"/>
      <c r="C36" s="34"/>
      <c r="D36" s="34"/>
      <c r="E36" s="34"/>
      <c r="F36" s="821" t="s">
        <v>12</v>
      </c>
      <c r="G36" s="821"/>
      <c r="H36" s="469"/>
      <c r="I36" s="630"/>
      <c r="J36" s="630"/>
    </row>
    <row r="37" spans="1:10" ht="12.75" customHeight="1" x14ac:dyDescent="0.2">
      <c r="A37" s="633"/>
      <c r="B37" s="34"/>
      <c r="C37" s="34"/>
      <c r="D37" s="34"/>
      <c r="E37" s="34"/>
      <c r="F37" s="821" t="s">
        <v>13</v>
      </c>
      <c r="G37" s="821"/>
      <c r="H37" s="821"/>
      <c r="I37" s="629"/>
      <c r="J37" s="629"/>
    </row>
    <row r="38" spans="1:10" ht="12.75" customHeight="1" x14ac:dyDescent="0.2">
      <c r="A38" s="629"/>
      <c r="B38" s="629"/>
      <c r="C38" s="629"/>
      <c r="D38" s="629"/>
      <c r="E38" s="821" t="s">
        <v>1121</v>
      </c>
      <c r="F38" s="821"/>
      <c r="G38" s="821"/>
      <c r="I38" s="629"/>
      <c r="J38" s="629"/>
    </row>
    <row r="39" spans="1:10" x14ac:dyDescent="0.2">
      <c r="A39" s="629"/>
      <c r="B39" s="629"/>
      <c r="C39" s="629"/>
      <c r="D39" s="629"/>
      <c r="E39" s="629"/>
      <c r="F39" s="33" t="s">
        <v>23</v>
      </c>
      <c r="G39" s="469"/>
      <c r="H39" s="469"/>
      <c r="I39" s="629"/>
      <c r="J39" s="629"/>
    </row>
    <row r="40" spans="1:10" x14ac:dyDescent="0.2">
      <c r="B40" s="14"/>
      <c r="C40" s="14"/>
      <c r="D40" s="14"/>
      <c r="E40" s="14"/>
      <c r="F40" s="14"/>
      <c r="G40" s="633"/>
      <c r="H40" s="33"/>
      <c r="I40" s="33"/>
      <c r="J40" s="633"/>
    </row>
  </sheetData>
  <mergeCells count="15">
    <mergeCell ref="F36:G36"/>
    <mergeCell ref="F37:H37"/>
    <mergeCell ref="E38:G38"/>
    <mergeCell ref="A33:B33"/>
    <mergeCell ref="D6:E6"/>
    <mergeCell ref="B9:B32"/>
    <mergeCell ref="H6:H7"/>
    <mergeCell ref="A1:G1"/>
    <mergeCell ref="A2:G2"/>
    <mergeCell ref="A4:G4"/>
    <mergeCell ref="A6:A7"/>
    <mergeCell ref="B6:B7"/>
    <mergeCell ref="G5:H5"/>
    <mergeCell ref="C6:C7"/>
    <mergeCell ref="F6:G6"/>
  </mergeCells>
  <printOptions horizontalCentered="1"/>
  <pageMargins left="0.70866141732283472" right="0.31" top="0.23622047244094491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L43"/>
  <sheetViews>
    <sheetView zoomScale="85" zoomScaleNormal="85" zoomScaleSheetLayoutView="84" workbookViewId="0">
      <selection activeCell="C9" sqref="C9:L33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6.28515625" customWidth="1"/>
    <col min="11" max="11" width="14" customWidth="1"/>
    <col min="12" max="12" width="15.140625" customWidth="1"/>
  </cols>
  <sheetData>
    <row r="1" spans="1:12" ht="18" x14ac:dyDescent="0.35">
      <c r="A1" s="918" t="s">
        <v>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209" t="s">
        <v>516</v>
      </c>
    </row>
    <row r="2" spans="1:12" ht="21" x14ac:dyDescent="0.35">
      <c r="A2" s="919" t="s">
        <v>740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</row>
    <row r="3" spans="1:12" ht="15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8" x14ac:dyDescent="0.35">
      <c r="A4" s="918" t="s">
        <v>515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2" ht="15" x14ac:dyDescent="0.3">
      <c r="A5" s="172" t="s">
        <v>920</v>
      </c>
      <c r="B5" s="172"/>
      <c r="C5" s="172"/>
      <c r="D5" s="172"/>
      <c r="E5" s="172"/>
      <c r="F5" s="172"/>
      <c r="G5" s="172"/>
      <c r="H5" s="172"/>
      <c r="I5" s="172"/>
      <c r="J5" s="1050" t="s">
        <v>830</v>
      </c>
      <c r="K5" s="1050"/>
      <c r="L5" s="1050"/>
    </row>
    <row r="6" spans="1:12" ht="21.75" customHeight="1" x14ac:dyDescent="0.2">
      <c r="A6" s="1009" t="s">
        <v>2</v>
      </c>
      <c r="B6" s="1009" t="s">
        <v>38</v>
      </c>
      <c r="C6" s="834" t="s">
        <v>459</v>
      </c>
      <c r="D6" s="834"/>
      <c r="E6" s="834"/>
      <c r="F6" s="834" t="s">
        <v>465</v>
      </c>
      <c r="G6" s="834"/>
      <c r="H6" s="834"/>
      <c r="I6" s="834"/>
      <c r="J6" s="834" t="s">
        <v>467</v>
      </c>
      <c r="K6" s="834"/>
      <c r="L6" s="834"/>
    </row>
    <row r="7" spans="1:12" ht="30" x14ac:dyDescent="0.2">
      <c r="A7" s="1009"/>
      <c r="B7" s="1009"/>
      <c r="C7" s="204" t="s">
        <v>211</v>
      </c>
      <c r="D7" s="204" t="s">
        <v>461</v>
      </c>
      <c r="E7" s="204" t="s">
        <v>466</v>
      </c>
      <c r="F7" s="204" t="s">
        <v>211</v>
      </c>
      <c r="G7" s="204" t="s">
        <v>460</v>
      </c>
      <c r="H7" s="204" t="s">
        <v>462</v>
      </c>
      <c r="I7" s="204" t="s">
        <v>466</v>
      </c>
      <c r="J7" s="5" t="s">
        <v>463</v>
      </c>
      <c r="K7" s="5" t="s">
        <v>464</v>
      </c>
      <c r="L7" s="204" t="s">
        <v>466</v>
      </c>
    </row>
    <row r="8" spans="1:12" ht="15" x14ac:dyDescent="0.2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  <c r="H8" s="175" t="s">
        <v>263</v>
      </c>
      <c r="I8" s="175" t="s">
        <v>282</v>
      </c>
      <c r="J8" s="175" t="s">
        <v>283</v>
      </c>
      <c r="K8" s="175" t="s">
        <v>284</v>
      </c>
      <c r="L8" s="175" t="s">
        <v>312</v>
      </c>
    </row>
    <row r="9" spans="1:12" x14ac:dyDescent="0.2">
      <c r="A9" s="638">
        <v>1</v>
      </c>
      <c r="B9" s="176" t="s">
        <v>896</v>
      </c>
      <c r="C9" s="1051" t="s">
        <v>1032</v>
      </c>
      <c r="D9" s="1051"/>
      <c r="E9" s="1051"/>
      <c r="F9" s="1051"/>
      <c r="G9" s="1051"/>
      <c r="H9" s="1051"/>
      <c r="I9" s="1051"/>
      <c r="J9" s="1052"/>
      <c r="K9" s="1052"/>
      <c r="L9" s="1051"/>
    </row>
    <row r="10" spans="1:12" x14ac:dyDescent="0.2">
      <c r="A10" s="638">
        <v>2</v>
      </c>
      <c r="B10" s="176" t="s">
        <v>897</v>
      </c>
      <c r="C10" s="1051"/>
      <c r="D10" s="1051"/>
      <c r="E10" s="1051"/>
      <c r="F10" s="1051"/>
      <c r="G10" s="1051"/>
      <c r="H10" s="1051"/>
      <c r="I10" s="1051"/>
      <c r="J10" s="1052"/>
      <c r="K10" s="1052"/>
      <c r="L10" s="1051"/>
    </row>
    <row r="11" spans="1:12" x14ac:dyDescent="0.2">
      <c r="A11" s="638">
        <v>3</v>
      </c>
      <c r="B11" s="176" t="s">
        <v>898</v>
      </c>
      <c r="C11" s="1051"/>
      <c r="D11" s="1051"/>
      <c r="E11" s="1051"/>
      <c r="F11" s="1051"/>
      <c r="G11" s="1051"/>
      <c r="H11" s="1051"/>
      <c r="I11" s="1051"/>
      <c r="J11" s="1052"/>
      <c r="K11" s="1052"/>
      <c r="L11" s="1051"/>
    </row>
    <row r="12" spans="1:12" x14ac:dyDescent="0.2">
      <c r="A12" s="638">
        <v>4</v>
      </c>
      <c r="B12" s="176" t="s">
        <v>899</v>
      </c>
      <c r="C12" s="1051"/>
      <c r="D12" s="1051"/>
      <c r="E12" s="1051"/>
      <c r="F12" s="1051"/>
      <c r="G12" s="1051"/>
      <c r="H12" s="1051"/>
      <c r="I12" s="1051"/>
      <c r="J12" s="1052"/>
      <c r="K12" s="1052"/>
      <c r="L12" s="1051"/>
    </row>
    <row r="13" spans="1:12" x14ac:dyDescent="0.2">
      <c r="A13" s="638">
        <v>5</v>
      </c>
      <c r="B13" s="176" t="s">
        <v>900</v>
      </c>
      <c r="C13" s="1051"/>
      <c r="D13" s="1051"/>
      <c r="E13" s="1051"/>
      <c r="F13" s="1051"/>
      <c r="G13" s="1051"/>
      <c r="H13" s="1051"/>
      <c r="I13" s="1051"/>
      <c r="J13" s="1052"/>
      <c r="K13" s="1052"/>
      <c r="L13" s="1051"/>
    </row>
    <row r="14" spans="1:12" x14ac:dyDescent="0.2">
      <c r="A14" s="638">
        <v>6</v>
      </c>
      <c r="B14" s="176" t="s">
        <v>901</v>
      </c>
      <c r="C14" s="1051"/>
      <c r="D14" s="1051"/>
      <c r="E14" s="1051"/>
      <c r="F14" s="1051"/>
      <c r="G14" s="1051"/>
      <c r="H14" s="1051"/>
      <c r="I14" s="1051"/>
      <c r="J14" s="1052"/>
      <c r="K14" s="1052"/>
      <c r="L14" s="1051"/>
    </row>
    <row r="15" spans="1:12" x14ac:dyDescent="0.2">
      <c r="A15" s="638">
        <v>7</v>
      </c>
      <c r="B15" s="176" t="s">
        <v>902</v>
      </c>
      <c r="C15" s="1051"/>
      <c r="D15" s="1051"/>
      <c r="E15" s="1051"/>
      <c r="F15" s="1051"/>
      <c r="G15" s="1051"/>
      <c r="H15" s="1051"/>
      <c r="I15" s="1051"/>
      <c r="J15" s="1052"/>
      <c r="K15" s="1052"/>
      <c r="L15" s="1051"/>
    </row>
    <row r="16" spans="1:12" x14ac:dyDescent="0.2">
      <c r="A16" s="638">
        <v>8</v>
      </c>
      <c r="B16" s="176" t="s">
        <v>903</v>
      </c>
      <c r="C16" s="1051"/>
      <c r="D16" s="1051"/>
      <c r="E16" s="1051"/>
      <c r="F16" s="1051"/>
      <c r="G16" s="1051"/>
      <c r="H16" s="1051"/>
      <c r="I16" s="1051"/>
      <c r="J16" s="1052"/>
      <c r="K16" s="1052"/>
      <c r="L16" s="1051"/>
    </row>
    <row r="17" spans="1:12" x14ac:dyDescent="0.2">
      <c r="A17" s="638">
        <v>9</v>
      </c>
      <c r="B17" s="176" t="s">
        <v>904</v>
      </c>
      <c r="C17" s="1051"/>
      <c r="D17" s="1051"/>
      <c r="E17" s="1051"/>
      <c r="F17" s="1051"/>
      <c r="G17" s="1051"/>
      <c r="H17" s="1051"/>
      <c r="I17" s="1051"/>
      <c r="J17" s="1052"/>
      <c r="K17" s="1052"/>
      <c r="L17" s="1051"/>
    </row>
    <row r="18" spans="1:12" x14ac:dyDescent="0.2">
      <c r="A18" s="638">
        <v>10</v>
      </c>
      <c r="B18" s="176" t="s">
        <v>905</v>
      </c>
      <c r="C18" s="1051"/>
      <c r="D18" s="1051"/>
      <c r="E18" s="1051"/>
      <c r="F18" s="1051"/>
      <c r="G18" s="1051"/>
      <c r="H18" s="1051"/>
      <c r="I18" s="1051"/>
      <c r="J18" s="1052"/>
      <c r="K18" s="1052"/>
      <c r="L18" s="1051"/>
    </row>
    <row r="19" spans="1:12" x14ac:dyDescent="0.2">
      <c r="A19" s="638">
        <v>11</v>
      </c>
      <c r="B19" s="176" t="s">
        <v>906</v>
      </c>
      <c r="C19" s="1051"/>
      <c r="D19" s="1051"/>
      <c r="E19" s="1051"/>
      <c r="F19" s="1051"/>
      <c r="G19" s="1051"/>
      <c r="H19" s="1051"/>
      <c r="I19" s="1051"/>
      <c r="J19" s="1052"/>
      <c r="K19" s="1052"/>
      <c r="L19" s="1051"/>
    </row>
    <row r="20" spans="1:12" x14ac:dyDescent="0.2">
      <c r="A20" s="638">
        <v>12</v>
      </c>
      <c r="B20" s="269" t="s">
        <v>907</v>
      </c>
      <c r="C20" s="1051"/>
      <c r="D20" s="1051"/>
      <c r="E20" s="1051"/>
      <c r="F20" s="1051"/>
      <c r="G20" s="1051"/>
      <c r="H20" s="1051"/>
      <c r="I20" s="1051"/>
      <c r="J20" s="1052"/>
      <c r="K20" s="1052"/>
      <c r="L20" s="1051"/>
    </row>
    <row r="21" spans="1:12" x14ac:dyDescent="0.2">
      <c r="A21" s="638">
        <v>13</v>
      </c>
      <c r="B21" s="176" t="s">
        <v>908</v>
      </c>
      <c r="C21" s="1051"/>
      <c r="D21" s="1051"/>
      <c r="E21" s="1051"/>
      <c r="F21" s="1051"/>
      <c r="G21" s="1051"/>
      <c r="H21" s="1051"/>
      <c r="I21" s="1051"/>
      <c r="J21" s="1052"/>
      <c r="K21" s="1052"/>
      <c r="L21" s="1051"/>
    </row>
    <row r="22" spans="1:12" x14ac:dyDescent="0.2">
      <c r="A22" s="638">
        <v>14</v>
      </c>
      <c r="B22" s="176" t="s">
        <v>909</v>
      </c>
      <c r="C22" s="1051"/>
      <c r="D22" s="1051"/>
      <c r="E22" s="1051"/>
      <c r="F22" s="1051"/>
      <c r="G22" s="1051"/>
      <c r="H22" s="1051"/>
      <c r="I22" s="1051"/>
      <c r="J22" s="1052"/>
      <c r="K22" s="1052"/>
      <c r="L22" s="1051"/>
    </row>
    <row r="23" spans="1:12" x14ac:dyDescent="0.2">
      <c r="A23" s="638">
        <v>15</v>
      </c>
      <c r="B23" s="176" t="s">
        <v>910</v>
      </c>
      <c r="C23" s="1051"/>
      <c r="D23" s="1051"/>
      <c r="E23" s="1051"/>
      <c r="F23" s="1051"/>
      <c r="G23" s="1051"/>
      <c r="H23" s="1051"/>
      <c r="I23" s="1051"/>
      <c r="J23" s="1052"/>
      <c r="K23" s="1052"/>
      <c r="L23" s="1051"/>
    </row>
    <row r="24" spans="1:12" x14ac:dyDescent="0.2">
      <c r="A24" s="638">
        <v>16</v>
      </c>
      <c r="B24" s="176" t="s">
        <v>911</v>
      </c>
      <c r="C24" s="1051"/>
      <c r="D24" s="1051"/>
      <c r="E24" s="1051"/>
      <c r="F24" s="1051"/>
      <c r="G24" s="1051"/>
      <c r="H24" s="1051"/>
      <c r="I24" s="1051"/>
      <c r="J24" s="1052"/>
      <c r="K24" s="1052"/>
      <c r="L24" s="1051"/>
    </row>
    <row r="25" spans="1:12" x14ac:dyDescent="0.2">
      <c r="A25" s="638">
        <v>17</v>
      </c>
      <c r="B25" s="176" t="s">
        <v>912</v>
      </c>
      <c r="C25" s="1051"/>
      <c r="D25" s="1051"/>
      <c r="E25" s="1051"/>
      <c r="F25" s="1051"/>
      <c r="G25" s="1051"/>
      <c r="H25" s="1051"/>
      <c r="I25" s="1051"/>
      <c r="J25" s="1052"/>
      <c r="K25" s="1052"/>
      <c r="L25" s="1051"/>
    </row>
    <row r="26" spans="1:12" x14ac:dyDescent="0.2">
      <c r="A26" s="638">
        <v>18</v>
      </c>
      <c r="B26" s="176" t="s">
        <v>913</v>
      </c>
      <c r="C26" s="1051"/>
      <c r="D26" s="1051"/>
      <c r="E26" s="1051"/>
      <c r="F26" s="1051"/>
      <c r="G26" s="1051"/>
      <c r="H26" s="1051"/>
      <c r="I26" s="1051"/>
      <c r="J26" s="1052"/>
      <c r="K26" s="1052"/>
      <c r="L26" s="1051"/>
    </row>
    <row r="27" spans="1:12" x14ac:dyDescent="0.2">
      <c r="A27" s="638">
        <v>19</v>
      </c>
      <c r="B27" s="176" t="s">
        <v>914</v>
      </c>
      <c r="C27" s="1051"/>
      <c r="D27" s="1051"/>
      <c r="E27" s="1051"/>
      <c r="F27" s="1051"/>
      <c r="G27" s="1051"/>
      <c r="H27" s="1051"/>
      <c r="I27" s="1051"/>
      <c r="J27" s="1052"/>
      <c r="K27" s="1052"/>
      <c r="L27" s="1051"/>
    </row>
    <row r="28" spans="1:12" x14ac:dyDescent="0.2">
      <c r="A28" s="638">
        <v>20</v>
      </c>
      <c r="B28" s="176" t="s">
        <v>915</v>
      </c>
      <c r="C28" s="1051"/>
      <c r="D28" s="1051"/>
      <c r="E28" s="1051"/>
      <c r="F28" s="1051"/>
      <c r="G28" s="1051"/>
      <c r="H28" s="1051"/>
      <c r="I28" s="1051"/>
      <c r="J28" s="1052"/>
      <c r="K28" s="1052"/>
      <c r="L28" s="1051"/>
    </row>
    <row r="29" spans="1:12" x14ac:dyDescent="0.2">
      <c r="A29" s="638">
        <v>21</v>
      </c>
      <c r="B29" s="176" t="s">
        <v>916</v>
      </c>
      <c r="C29" s="1051"/>
      <c r="D29" s="1051"/>
      <c r="E29" s="1051"/>
      <c r="F29" s="1051"/>
      <c r="G29" s="1051"/>
      <c r="H29" s="1051"/>
      <c r="I29" s="1051"/>
      <c r="J29" s="1052"/>
      <c r="K29" s="1052"/>
      <c r="L29" s="1051"/>
    </row>
    <row r="30" spans="1:12" x14ac:dyDescent="0.2">
      <c r="A30" s="638">
        <v>22</v>
      </c>
      <c r="B30" s="176" t="s">
        <v>917</v>
      </c>
      <c r="C30" s="1051"/>
      <c r="D30" s="1051"/>
      <c r="E30" s="1051"/>
      <c r="F30" s="1051"/>
      <c r="G30" s="1051"/>
      <c r="H30" s="1051"/>
      <c r="I30" s="1051"/>
      <c r="J30" s="1052"/>
      <c r="K30" s="1052"/>
      <c r="L30" s="1051"/>
    </row>
    <row r="31" spans="1:12" x14ac:dyDescent="0.2">
      <c r="A31" s="638">
        <v>23</v>
      </c>
      <c r="B31" s="176" t="s">
        <v>918</v>
      </c>
      <c r="C31" s="1051"/>
      <c r="D31" s="1051"/>
      <c r="E31" s="1051"/>
      <c r="F31" s="1051"/>
      <c r="G31" s="1051"/>
      <c r="H31" s="1051"/>
      <c r="I31" s="1051"/>
      <c r="J31" s="1052"/>
      <c r="K31" s="1052"/>
      <c r="L31" s="1051"/>
    </row>
    <row r="32" spans="1:12" x14ac:dyDescent="0.2">
      <c r="A32" s="638">
        <v>24</v>
      </c>
      <c r="B32" s="18" t="s">
        <v>919</v>
      </c>
      <c r="C32" s="1051"/>
      <c r="D32" s="1051"/>
      <c r="E32" s="1051"/>
      <c r="F32" s="1051"/>
      <c r="G32" s="1051"/>
      <c r="H32" s="1051"/>
      <c r="I32" s="1051"/>
      <c r="J32" s="1052"/>
      <c r="K32" s="1052"/>
      <c r="L32" s="1051"/>
    </row>
    <row r="33" spans="1:12" s="14" customFormat="1" x14ac:dyDescent="0.2">
      <c r="A33" s="802" t="s">
        <v>18</v>
      </c>
      <c r="B33" s="802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</row>
    <row r="37" spans="1:12" x14ac:dyDescent="0.2">
      <c r="A37" s="14" t="s">
        <v>22</v>
      </c>
    </row>
    <row r="40" spans="1:12" x14ac:dyDescent="0.2">
      <c r="J40" s="821" t="s">
        <v>12</v>
      </c>
      <c r="K40" s="821"/>
      <c r="L40" s="469"/>
    </row>
    <row r="41" spans="1:12" x14ac:dyDescent="0.2">
      <c r="J41" s="821" t="s">
        <v>13</v>
      </c>
      <c r="K41" s="821"/>
      <c r="L41" s="821"/>
    </row>
    <row r="42" spans="1:12" x14ac:dyDescent="0.2">
      <c r="J42" s="821" t="s">
        <v>19</v>
      </c>
      <c r="K42" s="821"/>
      <c r="L42" s="821"/>
    </row>
    <row r="43" spans="1:12" x14ac:dyDescent="0.2">
      <c r="J43" s="33" t="s">
        <v>23</v>
      </c>
      <c r="K43" s="469"/>
      <c r="L43" s="469"/>
    </row>
  </sheetData>
  <mergeCells count="14">
    <mergeCell ref="J40:K40"/>
    <mergeCell ref="J41:L41"/>
    <mergeCell ref="J42:L42"/>
    <mergeCell ref="C9:L33"/>
    <mergeCell ref="A33:B33"/>
    <mergeCell ref="J5:L5"/>
    <mergeCell ref="A1:K1"/>
    <mergeCell ref="C6:E6"/>
    <mergeCell ref="F6:I6"/>
    <mergeCell ref="J6:L6"/>
    <mergeCell ref="A6:A7"/>
    <mergeCell ref="B6:B7"/>
    <mergeCell ref="A2:K2"/>
    <mergeCell ref="A4:K4"/>
  </mergeCells>
  <printOptions horizontalCentered="1"/>
  <pageMargins left="0.70866141732283472" right="0.2" top="0.23622047244094491" bottom="0" header="0.26" footer="0.15"/>
  <pageSetup paperSize="9" scale="7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69"/>
  <sheetViews>
    <sheetView topLeftCell="A10" zoomScaleSheetLayoutView="80" workbookViewId="0">
      <selection activeCell="C29" sqref="C29"/>
    </sheetView>
  </sheetViews>
  <sheetFormatPr defaultRowHeight="12.75" x14ac:dyDescent="0.2"/>
  <cols>
    <col min="1" max="1" width="7.7109375" customWidth="1"/>
    <col min="2" max="2" width="14.5703125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3.7109375" customWidth="1"/>
    <col min="11" max="11" width="14.28515625" customWidth="1"/>
    <col min="20" max="20" width="10.7109375" bestFit="1" customWidth="1"/>
    <col min="24" max="24" width="10.7109375" bestFit="1" customWidth="1"/>
  </cols>
  <sheetData>
    <row r="1" spans="1:24" ht="18" x14ac:dyDescent="0.35">
      <c r="A1" s="918" t="s">
        <v>0</v>
      </c>
      <c r="B1" s="918"/>
      <c r="C1" s="918"/>
      <c r="D1" s="918"/>
      <c r="E1" s="918"/>
      <c r="F1" s="918"/>
      <c r="G1" s="918"/>
      <c r="H1" s="918"/>
      <c r="I1" s="723"/>
      <c r="J1" s="723"/>
      <c r="K1" s="209" t="s">
        <v>518</v>
      </c>
    </row>
    <row r="2" spans="1:24" ht="21" x14ac:dyDescent="0.35">
      <c r="A2" s="919" t="s">
        <v>740</v>
      </c>
      <c r="B2" s="919"/>
      <c r="C2" s="919"/>
      <c r="D2" s="919"/>
      <c r="E2" s="919"/>
      <c r="F2" s="919"/>
      <c r="G2" s="919"/>
      <c r="H2" s="919"/>
      <c r="I2" s="724"/>
      <c r="J2" s="724"/>
    </row>
    <row r="3" spans="1:24" ht="18" x14ac:dyDescent="0.35">
      <c r="A3" s="918" t="s">
        <v>517</v>
      </c>
      <c r="B3" s="918"/>
      <c r="C3" s="918"/>
      <c r="D3" s="918"/>
      <c r="E3" s="918"/>
      <c r="F3" s="918"/>
      <c r="G3" s="918"/>
      <c r="H3" s="918"/>
      <c r="I3" s="723"/>
      <c r="J3" s="723"/>
    </row>
    <row r="4" spans="1:24" ht="15" x14ac:dyDescent="0.3">
      <c r="A4" s="172" t="s">
        <v>920</v>
      </c>
      <c r="B4" s="172"/>
      <c r="C4" s="172"/>
      <c r="D4" s="172"/>
      <c r="E4" s="172"/>
      <c r="F4" s="172"/>
      <c r="G4" s="1050" t="s">
        <v>830</v>
      </c>
      <c r="H4" s="1050"/>
      <c r="I4" s="1050"/>
      <c r="J4" s="1050"/>
      <c r="K4" s="1050"/>
    </row>
    <row r="5" spans="1:24" x14ac:dyDescent="0.2">
      <c r="A5" s="1009" t="s">
        <v>2</v>
      </c>
      <c r="B5" s="1009" t="s">
        <v>38</v>
      </c>
      <c r="C5" s="834" t="s">
        <v>477</v>
      </c>
      <c r="D5" s="834"/>
      <c r="E5" s="834"/>
      <c r="F5" s="834" t="s">
        <v>480</v>
      </c>
      <c r="G5" s="834"/>
      <c r="H5" s="834"/>
      <c r="I5" s="834" t="s">
        <v>644</v>
      </c>
      <c r="J5" s="834" t="s">
        <v>643</v>
      </c>
      <c r="K5" s="834" t="s">
        <v>78</v>
      </c>
    </row>
    <row r="6" spans="1:24" ht="27" customHeight="1" x14ac:dyDescent="0.2">
      <c r="A6" s="1009"/>
      <c r="B6" s="1009"/>
      <c r="C6" s="722" t="s">
        <v>476</v>
      </c>
      <c r="D6" s="722" t="s">
        <v>478</v>
      </c>
      <c r="E6" s="722" t="s">
        <v>479</v>
      </c>
      <c r="F6" s="722" t="s">
        <v>476</v>
      </c>
      <c r="G6" s="722" t="s">
        <v>478</v>
      </c>
      <c r="H6" s="722" t="s">
        <v>479</v>
      </c>
      <c r="I6" s="834"/>
      <c r="J6" s="834"/>
      <c r="K6" s="834"/>
    </row>
    <row r="7" spans="1:24" ht="15" x14ac:dyDescent="0.2">
      <c r="A7" s="189">
        <v>1</v>
      </c>
      <c r="B7" s="189">
        <v>2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</row>
    <row r="8" spans="1:24" ht="15" x14ac:dyDescent="0.25">
      <c r="A8" s="721">
        <v>1</v>
      </c>
      <c r="B8" s="176" t="s">
        <v>896</v>
      </c>
      <c r="C8" s="176">
        <v>5</v>
      </c>
      <c r="D8" s="176">
        <v>96</v>
      </c>
      <c r="E8" s="176">
        <v>2173</v>
      </c>
      <c r="F8" s="176">
        <v>5</v>
      </c>
      <c r="G8" s="176">
        <v>96</v>
      </c>
      <c r="H8" s="176">
        <v>2173</v>
      </c>
      <c r="I8" s="699">
        <v>5.43</v>
      </c>
      <c r="J8" s="726">
        <v>243029</v>
      </c>
      <c r="K8" s="727"/>
    </row>
    <row r="9" spans="1:24" ht="12.75" customHeight="1" x14ac:dyDescent="0.25">
      <c r="A9" s="721">
        <v>2</v>
      </c>
      <c r="B9" s="176" t="s">
        <v>897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699">
        <v>0</v>
      </c>
      <c r="J9" s="726">
        <v>0</v>
      </c>
      <c r="K9" s="727"/>
      <c r="T9" s="378"/>
      <c r="X9" s="378"/>
    </row>
    <row r="10" spans="1:24" ht="12.75" customHeight="1" x14ac:dyDescent="0.25">
      <c r="A10" s="721">
        <v>3</v>
      </c>
      <c r="B10" s="176" t="s">
        <v>898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699">
        <v>0</v>
      </c>
      <c r="J10" s="726">
        <v>0</v>
      </c>
      <c r="K10" s="727"/>
      <c r="T10" s="378"/>
      <c r="X10" s="378"/>
    </row>
    <row r="11" spans="1:24" ht="12.75" customHeight="1" x14ac:dyDescent="0.25">
      <c r="A11" s="721">
        <v>4</v>
      </c>
      <c r="B11" s="176" t="s">
        <v>899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699">
        <v>0</v>
      </c>
      <c r="J11" s="726">
        <v>0</v>
      </c>
      <c r="K11" s="727"/>
      <c r="T11" s="378"/>
      <c r="X11" s="378"/>
    </row>
    <row r="12" spans="1:24" ht="12.75" customHeight="1" x14ac:dyDescent="0.25">
      <c r="A12" s="721">
        <v>5</v>
      </c>
      <c r="B12" s="176" t="s">
        <v>900</v>
      </c>
      <c r="C12" s="176">
        <v>3</v>
      </c>
      <c r="D12" s="176">
        <v>18</v>
      </c>
      <c r="E12" s="176">
        <v>1516</v>
      </c>
      <c r="F12" s="176">
        <v>3</v>
      </c>
      <c r="G12" s="176">
        <v>18</v>
      </c>
      <c r="H12" s="176">
        <v>1516</v>
      </c>
      <c r="I12" s="699">
        <v>0.82800000000000007</v>
      </c>
      <c r="J12" s="726">
        <v>37132</v>
      </c>
      <c r="K12" s="727"/>
      <c r="T12" s="378"/>
      <c r="X12" s="378"/>
    </row>
    <row r="13" spans="1:24" ht="12.75" customHeight="1" x14ac:dyDescent="0.25">
      <c r="A13" s="721">
        <v>6</v>
      </c>
      <c r="B13" s="176" t="s">
        <v>901</v>
      </c>
      <c r="C13" s="176"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699">
        <v>0</v>
      </c>
      <c r="J13" s="726">
        <v>0</v>
      </c>
      <c r="K13" s="727"/>
      <c r="T13" s="378"/>
      <c r="X13" s="378"/>
    </row>
    <row r="14" spans="1:24" ht="12.75" customHeight="1" x14ac:dyDescent="0.25">
      <c r="A14" s="721">
        <v>7</v>
      </c>
      <c r="B14" s="176" t="s">
        <v>902</v>
      </c>
      <c r="C14" s="176">
        <v>3</v>
      </c>
      <c r="D14" s="176">
        <v>16</v>
      </c>
      <c r="E14" s="176">
        <v>797</v>
      </c>
      <c r="F14" s="176">
        <v>3</v>
      </c>
      <c r="G14" s="176">
        <v>16</v>
      </c>
      <c r="H14" s="176">
        <v>797</v>
      </c>
      <c r="I14" s="699">
        <v>0.32899999999999996</v>
      </c>
      <c r="J14" s="726">
        <v>14561</v>
      </c>
      <c r="K14" s="727"/>
      <c r="T14" s="378"/>
      <c r="X14" s="378"/>
    </row>
    <row r="15" spans="1:24" ht="12.75" customHeight="1" x14ac:dyDescent="0.25">
      <c r="A15" s="721">
        <v>8</v>
      </c>
      <c r="B15" s="176" t="s">
        <v>903</v>
      </c>
      <c r="C15" s="176">
        <v>9</v>
      </c>
      <c r="D15" s="176">
        <v>168</v>
      </c>
      <c r="E15" s="176">
        <v>2942</v>
      </c>
      <c r="F15" s="176">
        <v>9</v>
      </c>
      <c r="G15" s="176">
        <v>168</v>
      </c>
      <c r="H15" s="176">
        <v>2942</v>
      </c>
      <c r="I15" s="699">
        <v>3.0640000000000001</v>
      </c>
      <c r="J15" s="726">
        <v>137171</v>
      </c>
      <c r="K15" s="727"/>
      <c r="T15" s="378"/>
      <c r="X15" s="378"/>
    </row>
    <row r="16" spans="1:24" ht="12.75" customHeight="1" x14ac:dyDescent="0.25">
      <c r="A16" s="721">
        <v>9</v>
      </c>
      <c r="B16" s="176" t="s">
        <v>904</v>
      </c>
      <c r="C16" s="176">
        <v>10</v>
      </c>
      <c r="D16" s="176">
        <v>327</v>
      </c>
      <c r="E16" s="176">
        <v>2646</v>
      </c>
      <c r="F16" s="176">
        <v>10</v>
      </c>
      <c r="G16" s="176">
        <v>327</v>
      </c>
      <c r="H16" s="176">
        <v>2646</v>
      </c>
      <c r="I16" s="699">
        <v>5.3699999999999992</v>
      </c>
      <c r="J16" s="726">
        <v>240830</v>
      </c>
      <c r="K16" s="727"/>
      <c r="T16" s="378"/>
      <c r="X16" s="378"/>
    </row>
    <row r="17" spans="1:24" ht="12.75" customHeight="1" x14ac:dyDescent="0.25">
      <c r="A17" s="721">
        <v>10</v>
      </c>
      <c r="B17" s="176" t="s">
        <v>905</v>
      </c>
      <c r="C17" s="176">
        <v>4</v>
      </c>
      <c r="D17" s="176">
        <v>69</v>
      </c>
      <c r="E17" s="176">
        <v>2368</v>
      </c>
      <c r="F17" s="176">
        <v>4</v>
      </c>
      <c r="G17" s="176">
        <v>69</v>
      </c>
      <c r="H17" s="176">
        <v>2368</v>
      </c>
      <c r="I17" s="699">
        <v>5.5060000000000002</v>
      </c>
      <c r="J17" s="726">
        <v>246567</v>
      </c>
      <c r="K17" s="727"/>
      <c r="T17" s="378"/>
      <c r="X17" s="378"/>
    </row>
    <row r="18" spans="1:24" ht="12.75" customHeight="1" x14ac:dyDescent="0.25">
      <c r="A18" s="721">
        <v>11</v>
      </c>
      <c r="B18" s="176" t="s">
        <v>906</v>
      </c>
      <c r="C18" s="176">
        <v>15</v>
      </c>
      <c r="D18" s="176">
        <v>502</v>
      </c>
      <c r="E18" s="176">
        <v>3832</v>
      </c>
      <c r="F18" s="176">
        <v>15</v>
      </c>
      <c r="G18" s="176">
        <v>502</v>
      </c>
      <c r="H18" s="176">
        <v>3832</v>
      </c>
      <c r="I18" s="699">
        <v>14.280000000000001</v>
      </c>
      <c r="J18" s="726">
        <v>639584</v>
      </c>
      <c r="K18" s="727"/>
      <c r="T18" s="378"/>
      <c r="X18" s="378"/>
    </row>
    <row r="19" spans="1:24" ht="12.75" customHeight="1" x14ac:dyDescent="0.25">
      <c r="A19" s="721">
        <v>12</v>
      </c>
      <c r="B19" s="269" t="s">
        <v>907</v>
      </c>
      <c r="C19" s="176">
        <v>13</v>
      </c>
      <c r="D19" s="176">
        <v>191</v>
      </c>
      <c r="E19" s="176">
        <v>13560</v>
      </c>
      <c r="F19" s="176">
        <v>13</v>
      </c>
      <c r="G19" s="176">
        <v>191</v>
      </c>
      <c r="H19" s="176">
        <v>13560</v>
      </c>
      <c r="I19" s="699">
        <v>3.4350000000000001</v>
      </c>
      <c r="J19" s="726">
        <v>154015</v>
      </c>
      <c r="K19" s="727"/>
      <c r="T19" s="378"/>
      <c r="X19" s="378"/>
    </row>
    <row r="20" spans="1:24" ht="12.75" customHeight="1" x14ac:dyDescent="0.25">
      <c r="A20" s="721">
        <v>13</v>
      </c>
      <c r="B20" s="176" t="s">
        <v>908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699">
        <v>0</v>
      </c>
      <c r="J20" s="726">
        <v>0</v>
      </c>
      <c r="K20" s="727"/>
      <c r="T20" s="378"/>
      <c r="X20" s="378"/>
    </row>
    <row r="21" spans="1:24" ht="12.75" customHeight="1" x14ac:dyDescent="0.25">
      <c r="A21" s="721">
        <v>14</v>
      </c>
      <c r="B21" s="176" t="s">
        <v>909</v>
      </c>
      <c r="C21" s="176">
        <v>4</v>
      </c>
      <c r="D21" s="176">
        <v>26</v>
      </c>
      <c r="E21" s="176">
        <v>584</v>
      </c>
      <c r="F21" s="176">
        <v>4</v>
      </c>
      <c r="G21" s="176">
        <v>26</v>
      </c>
      <c r="H21" s="176">
        <v>584</v>
      </c>
      <c r="I21" s="699">
        <v>0.50600000000000001</v>
      </c>
      <c r="J21" s="726">
        <v>22682</v>
      </c>
      <c r="K21" s="727"/>
      <c r="T21" s="378"/>
      <c r="X21" s="378"/>
    </row>
    <row r="22" spans="1:24" ht="12.75" customHeight="1" x14ac:dyDescent="0.25">
      <c r="A22" s="721">
        <v>15</v>
      </c>
      <c r="B22" s="176" t="s">
        <v>910</v>
      </c>
      <c r="C22" s="176">
        <v>20</v>
      </c>
      <c r="D22" s="176">
        <v>602</v>
      </c>
      <c r="E22" s="176">
        <v>3406</v>
      </c>
      <c r="F22" s="176">
        <v>20</v>
      </c>
      <c r="G22" s="176">
        <v>602</v>
      </c>
      <c r="H22" s="176">
        <v>3406</v>
      </c>
      <c r="I22" s="699">
        <v>8.3780000000000001</v>
      </c>
      <c r="J22" s="726">
        <v>375038</v>
      </c>
      <c r="K22" s="727"/>
      <c r="T22" s="378"/>
      <c r="X22" s="378"/>
    </row>
    <row r="23" spans="1:24" ht="12.75" customHeight="1" x14ac:dyDescent="0.25">
      <c r="A23" s="721">
        <v>16</v>
      </c>
      <c r="B23" s="176" t="s">
        <v>911</v>
      </c>
      <c r="C23" s="176">
        <v>54</v>
      </c>
      <c r="D23" s="176">
        <v>1828</v>
      </c>
      <c r="E23" s="176">
        <v>13034</v>
      </c>
      <c r="F23" s="176">
        <v>54</v>
      </c>
      <c r="G23" s="176">
        <v>1828</v>
      </c>
      <c r="H23" s="176">
        <v>13034</v>
      </c>
      <c r="I23" s="699">
        <v>34.46</v>
      </c>
      <c r="J23" s="726">
        <v>1543025</v>
      </c>
      <c r="K23" s="727"/>
      <c r="T23" s="378"/>
      <c r="X23" s="378"/>
    </row>
    <row r="24" spans="1:24" ht="12.75" customHeight="1" x14ac:dyDescent="0.25">
      <c r="A24" s="721">
        <v>17</v>
      </c>
      <c r="B24" s="176" t="s">
        <v>912</v>
      </c>
      <c r="C24" s="176">
        <v>6</v>
      </c>
      <c r="D24" s="176">
        <v>78</v>
      </c>
      <c r="E24" s="176">
        <v>1889</v>
      </c>
      <c r="F24" s="176">
        <v>6</v>
      </c>
      <c r="G24" s="176">
        <v>78</v>
      </c>
      <c r="H24" s="176">
        <v>1889</v>
      </c>
      <c r="I24" s="699">
        <v>3.4799999999999995</v>
      </c>
      <c r="J24" s="726">
        <v>155866</v>
      </c>
      <c r="K24" s="727"/>
      <c r="T24" s="378"/>
      <c r="X24" s="378"/>
    </row>
    <row r="25" spans="1:24" ht="12.75" customHeight="1" x14ac:dyDescent="0.25">
      <c r="A25" s="721">
        <v>18</v>
      </c>
      <c r="B25" s="176" t="s">
        <v>913</v>
      </c>
      <c r="C25" s="176">
        <v>3</v>
      </c>
      <c r="D25" s="176">
        <v>80</v>
      </c>
      <c r="E25" s="176">
        <v>273</v>
      </c>
      <c r="F25" s="176">
        <v>3</v>
      </c>
      <c r="G25" s="176">
        <v>80</v>
      </c>
      <c r="H25" s="176">
        <v>273</v>
      </c>
      <c r="I25" s="699">
        <v>0.64</v>
      </c>
      <c r="J25" s="726">
        <v>28440</v>
      </c>
      <c r="K25" s="727"/>
      <c r="T25" s="378"/>
      <c r="X25" s="378"/>
    </row>
    <row r="26" spans="1:24" ht="12.75" customHeight="1" x14ac:dyDescent="0.25">
      <c r="A26" s="721">
        <v>19</v>
      </c>
      <c r="B26" s="176" t="s">
        <v>914</v>
      </c>
      <c r="C26" s="176">
        <v>23</v>
      </c>
      <c r="D26" s="176">
        <v>1154</v>
      </c>
      <c r="E26" s="176">
        <v>3600</v>
      </c>
      <c r="F26" s="176">
        <v>23</v>
      </c>
      <c r="G26" s="176">
        <v>1154</v>
      </c>
      <c r="H26" s="176">
        <v>3600</v>
      </c>
      <c r="I26" s="699">
        <v>14.8188</v>
      </c>
      <c r="J26" s="726">
        <v>663374</v>
      </c>
      <c r="K26" s="727"/>
      <c r="T26" s="378"/>
      <c r="X26" s="378"/>
    </row>
    <row r="27" spans="1:24" ht="12.75" customHeight="1" x14ac:dyDescent="0.25">
      <c r="A27" s="721">
        <v>20</v>
      </c>
      <c r="B27" s="176" t="s">
        <v>915</v>
      </c>
      <c r="C27" s="176">
        <v>1</v>
      </c>
      <c r="D27" s="176">
        <v>46</v>
      </c>
      <c r="E27" s="176">
        <v>86</v>
      </c>
      <c r="F27" s="176">
        <v>1</v>
      </c>
      <c r="G27" s="176">
        <v>46</v>
      </c>
      <c r="H27" s="176">
        <v>86</v>
      </c>
      <c r="I27" s="699">
        <v>0.27</v>
      </c>
      <c r="J27" s="726">
        <v>7822</v>
      </c>
      <c r="K27" s="727"/>
      <c r="T27" s="378"/>
      <c r="X27" s="378"/>
    </row>
    <row r="28" spans="1:24" ht="12.75" customHeight="1" x14ac:dyDescent="0.25">
      <c r="A28" s="721">
        <v>21</v>
      </c>
      <c r="B28" s="176" t="s">
        <v>916</v>
      </c>
      <c r="C28" s="176">
        <v>15</v>
      </c>
      <c r="D28" s="176">
        <v>218</v>
      </c>
      <c r="E28" s="176">
        <v>5272</v>
      </c>
      <c r="F28" s="176">
        <v>15</v>
      </c>
      <c r="G28" s="176">
        <v>218</v>
      </c>
      <c r="H28" s="176">
        <v>5272</v>
      </c>
      <c r="I28" s="699">
        <v>16.245000000000001</v>
      </c>
      <c r="J28" s="726">
        <v>727525</v>
      </c>
      <c r="K28" s="727"/>
      <c r="T28" s="378"/>
      <c r="X28" s="378"/>
    </row>
    <row r="29" spans="1:24" ht="12.75" customHeight="1" x14ac:dyDescent="0.25">
      <c r="A29" s="721">
        <v>22</v>
      </c>
      <c r="B29" s="176" t="s">
        <v>917</v>
      </c>
      <c r="C29" s="176">
        <v>11</v>
      </c>
      <c r="D29" s="176">
        <v>310</v>
      </c>
      <c r="E29" s="176">
        <v>5131</v>
      </c>
      <c r="F29" s="176">
        <v>11</v>
      </c>
      <c r="G29" s="176">
        <v>310</v>
      </c>
      <c r="H29" s="176">
        <v>5131</v>
      </c>
      <c r="I29" s="699">
        <v>9.49</v>
      </c>
      <c r="J29" s="726">
        <v>425371</v>
      </c>
      <c r="K29" s="727"/>
      <c r="T29" s="378"/>
      <c r="X29" s="378"/>
    </row>
    <row r="30" spans="1:24" ht="12.75" customHeight="1" x14ac:dyDescent="0.25">
      <c r="A30" s="721">
        <v>23</v>
      </c>
      <c r="B30" s="176" t="s">
        <v>918</v>
      </c>
      <c r="C30" s="176">
        <v>44</v>
      </c>
      <c r="D30" s="176">
        <v>1667</v>
      </c>
      <c r="E30" s="176">
        <v>11831</v>
      </c>
      <c r="F30" s="176">
        <v>44</v>
      </c>
      <c r="G30" s="176">
        <v>1667</v>
      </c>
      <c r="H30" s="176">
        <v>11831</v>
      </c>
      <c r="I30" s="699">
        <v>23.107999999999997</v>
      </c>
      <c r="J30" s="726">
        <v>1034568</v>
      </c>
      <c r="K30" s="727"/>
      <c r="T30" s="378"/>
      <c r="X30" s="378"/>
    </row>
    <row r="31" spans="1:24" ht="12.75" customHeight="1" x14ac:dyDescent="0.25">
      <c r="A31" s="721">
        <v>24</v>
      </c>
      <c r="B31" s="18" t="s">
        <v>919</v>
      </c>
      <c r="C31" s="176">
        <v>16</v>
      </c>
      <c r="D31" s="176">
        <v>398</v>
      </c>
      <c r="E31" s="176">
        <v>3202</v>
      </c>
      <c r="F31" s="176">
        <v>16</v>
      </c>
      <c r="G31" s="176">
        <v>398</v>
      </c>
      <c r="H31" s="176">
        <v>3202</v>
      </c>
      <c r="I31" s="699">
        <v>5.1749999999999998</v>
      </c>
      <c r="J31" s="728">
        <v>233919</v>
      </c>
      <c r="K31" s="9"/>
      <c r="T31" s="378"/>
      <c r="X31" s="378"/>
    </row>
    <row r="32" spans="1:24" ht="12.75" customHeight="1" x14ac:dyDescent="0.2">
      <c r="A32" s="802" t="s">
        <v>18</v>
      </c>
      <c r="B32" s="802"/>
      <c r="C32" s="307">
        <f t="shared" ref="C32:J32" si="0">SUM(C8:C31)</f>
        <v>259</v>
      </c>
      <c r="D32" s="307">
        <f t="shared" si="0"/>
        <v>7794</v>
      </c>
      <c r="E32" s="307">
        <f t="shared" si="0"/>
        <v>78142</v>
      </c>
      <c r="F32" s="307">
        <f t="shared" si="0"/>
        <v>259</v>
      </c>
      <c r="G32" s="307">
        <f t="shared" si="0"/>
        <v>7794</v>
      </c>
      <c r="H32" s="307">
        <f t="shared" si="0"/>
        <v>78142</v>
      </c>
      <c r="I32" s="700">
        <f t="shared" si="0"/>
        <v>154.81280000000001</v>
      </c>
      <c r="J32" s="700">
        <f t="shared" si="0"/>
        <v>6930519</v>
      </c>
      <c r="K32" s="307"/>
      <c r="T32" s="378"/>
      <c r="X32" s="378"/>
    </row>
    <row r="33" spans="1:24" s="14" customFormat="1" ht="12.75" customHeight="1" x14ac:dyDescent="0.2">
      <c r="A33" s="14" t="s">
        <v>22</v>
      </c>
      <c r="B33"/>
      <c r="C33"/>
      <c r="D33"/>
      <c r="E33"/>
      <c r="F33"/>
      <c r="G33"/>
      <c r="H33"/>
      <c r="I33"/>
      <c r="J33"/>
      <c r="K33"/>
      <c r="O33"/>
      <c r="P33"/>
      <c r="S33"/>
      <c r="T33" s="378"/>
      <c r="V33"/>
      <c r="X33" s="378"/>
    </row>
    <row r="35" spans="1:24" x14ac:dyDescent="0.2">
      <c r="I35" s="821" t="s">
        <v>12</v>
      </c>
      <c r="J35" s="821"/>
      <c r="K35" s="469"/>
    </row>
    <row r="36" spans="1:24" x14ac:dyDescent="0.2">
      <c r="I36" s="821" t="s">
        <v>13</v>
      </c>
      <c r="J36" s="821"/>
      <c r="K36" s="821"/>
    </row>
    <row r="37" spans="1:24" x14ac:dyDescent="0.2">
      <c r="I37" s="821" t="s">
        <v>19</v>
      </c>
      <c r="J37" s="821"/>
      <c r="K37" s="821"/>
    </row>
    <row r="38" spans="1:24" x14ac:dyDescent="0.2">
      <c r="I38" s="33" t="s">
        <v>23</v>
      </c>
      <c r="J38" s="469"/>
      <c r="K38" s="469"/>
    </row>
    <row r="39" spans="1:24" x14ac:dyDescent="0.2">
      <c r="I39" s="821"/>
      <c r="J39" s="821"/>
      <c r="K39" s="821"/>
    </row>
    <row r="40" spans="1:24" x14ac:dyDescent="0.2">
      <c r="I40" s="821"/>
      <c r="J40" s="821"/>
      <c r="K40" s="821"/>
    </row>
    <row r="41" spans="1:24" x14ac:dyDescent="0.2">
      <c r="I41" s="33"/>
      <c r="J41" s="469"/>
      <c r="K41" s="469"/>
    </row>
    <row r="42" spans="1:24" x14ac:dyDescent="0.2">
      <c r="N42" s="12"/>
      <c r="O42" s="12"/>
      <c r="P42" s="12"/>
    </row>
    <row r="43" spans="1:24" x14ac:dyDescent="0.2">
      <c r="N43" s="12"/>
      <c r="O43" s="12"/>
      <c r="P43" s="12"/>
    </row>
    <row r="44" spans="1:24" x14ac:dyDescent="0.2">
      <c r="N44" s="12"/>
      <c r="O44" s="745"/>
      <c r="P44" s="12"/>
    </row>
    <row r="45" spans="1:24" x14ac:dyDescent="0.2">
      <c r="N45" s="12"/>
      <c r="O45" s="745"/>
      <c r="P45" s="12"/>
    </row>
    <row r="46" spans="1:24" x14ac:dyDescent="0.2">
      <c r="N46" s="12"/>
      <c r="O46" s="745"/>
      <c r="P46" s="12"/>
    </row>
    <row r="47" spans="1:24" x14ac:dyDescent="0.2">
      <c r="N47" s="12"/>
      <c r="O47" s="745"/>
      <c r="P47" s="12"/>
    </row>
    <row r="48" spans="1:24" x14ac:dyDescent="0.2">
      <c r="N48" s="12"/>
      <c r="O48" s="745"/>
      <c r="P48" s="12"/>
    </row>
    <row r="49" spans="14:16" x14ac:dyDescent="0.2">
      <c r="N49" s="12"/>
      <c r="O49" s="745"/>
      <c r="P49" s="12"/>
    </row>
    <row r="50" spans="14:16" x14ac:dyDescent="0.2">
      <c r="N50" s="12"/>
      <c r="O50" s="745"/>
      <c r="P50" s="12"/>
    </row>
    <row r="51" spans="14:16" x14ac:dyDescent="0.2">
      <c r="N51" s="12"/>
      <c r="O51" s="745"/>
      <c r="P51" s="12"/>
    </row>
    <row r="52" spans="14:16" x14ac:dyDescent="0.2">
      <c r="N52" s="12"/>
      <c r="O52" s="745"/>
      <c r="P52" s="12"/>
    </row>
    <row r="53" spans="14:16" x14ac:dyDescent="0.2">
      <c r="N53" s="12"/>
      <c r="O53" s="745"/>
      <c r="P53" s="12"/>
    </row>
    <row r="54" spans="14:16" x14ac:dyDescent="0.2">
      <c r="N54" s="12"/>
      <c r="O54" s="745"/>
      <c r="P54" s="12"/>
    </row>
    <row r="55" spans="14:16" x14ac:dyDescent="0.2">
      <c r="N55" s="12"/>
      <c r="O55" s="745"/>
      <c r="P55" s="12"/>
    </row>
    <row r="56" spans="14:16" x14ac:dyDescent="0.2">
      <c r="N56" s="12"/>
      <c r="O56" s="745"/>
      <c r="P56" s="12"/>
    </row>
    <row r="57" spans="14:16" x14ac:dyDescent="0.2">
      <c r="N57" s="12"/>
      <c r="O57" s="745"/>
      <c r="P57" s="12"/>
    </row>
    <row r="58" spans="14:16" x14ac:dyDescent="0.2">
      <c r="N58" s="12"/>
      <c r="O58" s="745"/>
      <c r="P58" s="12"/>
    </row>
    <row r="59" spans="14:16" x14ac:dyDescent="0.2">
      <c r="N59" s="12"/>
      <c r="O59" s="745"/>
      <c r="P59" s="12"/>
    </row>
    <row r="60" spans="14:16" x14ac:dyDescent="0.2">
      <c r="N60" s="12"/>
      <c r="O60" s="745"/>
      <c r="P60" s="12"/>
    </row>
    <row r="61" spans="14:16" x14ac:dyDescent="0.2">
      <c r="N61" s="12"/>
      <c r="O61" s="745"/>
      <c r="P61" s="12"/>
    </row>
    <row r="62" spans="14:16" x14ac:dyDescent="0.2">
      <c r="N62" s="12"/>
      <c r="O62" s="745"/>
      <c r="P62" s="12"/>
    </row>
    <row r="63" spans="14:16" x14ac:dyDescent="0.2">
      <c r="N63" s="12"/>
      <c r="O63" s="745"/>
      <c r="P63" s="12"/>
    </row>
    <row r="64" spans="14:16" x14ac:dyDescent="0.2">
      <c r="N64" s="12"/>
      <c r="O64" s="745"/>
      <c r="P64" s="12"/>
    </row>
    <row r="65" spans="14:16" x14ac:dyDescent="0.2">
      <c r="N65" s="12"/>
      <c r="O65" s="745"/>
      <c r="P65" s="12"/>
    </row>
    <row r="66" spans="14:16" x14ac:dyDescent="0.2">
      <c r="N66" s="12"/>
      <c r="O66" s="745"/>
      <c r="P66" s="12"/>
    </row>
    <row r="67" spans="14:16" x14ac:dyDescent="0.2">
      <c r="N67" s="12"/>
      <c r="O67" s="745"/>
      <c r="P67" s="12"/>
    </row>
    <row r="68" spans="14:16" x14ac:dyDescent="0.2">
      <c r="N68" s="12"/>
      <c r="O68" s="12"/>
      <c r="P68" s="12"/>
    </row>
    <row r="69" spans="14:16" x14ac:dyDescent="0.2">
      <c r="N69" s="12"/>
      <c r="O69" s="12"/>
      <c r="P69" s="12"/>
    </row>
  </sheetData>
  <mergeCells count="17">
    <mergeCell ref="I39:K39"/>
    <mergeCell ref="I40:K40"/>
    <mergeCell ref="I36:K36"/>
    <mergeCell ref="I37:K37"/>
    <mergeCell ref="A1:H1"/>
    <mergeCell ref="A2:H2"/>
    <mergeCell ref="A3:H3"/>
    <mergeCell ref="A32:B32"/>
    <mergeCell ref="I35:J35"/>
    <mergeCell ref="G4:K4"/>
    <mergeCell ref="A5:A6"/>
    <mergeCell ref="B5:B6"/>
    <mergeCell ref="C5:E5"/>
    <mergeCell ref="F5:H5"/>
    <mergeCell ref="I5:I6"/>
    <mergeCell ref="J5:J6"/>
    <mergeCell ref="K5:K6"/>
  </mergeCells>
  <printOptions horizontalCentered="1"/>
  <pageMargins left="0.70866141732283472" right="0.39" top="0.23622047244094491" bottom="0" header="0.31496062992125984" footer="0.31496062992125984"/>
  <pageSetup paperSize="9" scale="9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L42"/>
  <sheetViews>
    <sheetView topLeftCell="A19" zoomScale="85" zoomScaleNormal="85" zoomScaleSheetLayoutView="100" workbookViewId="0">
      <selection activeCell="J36" sqref="J36"/>
    </sheetView>
  </sheetViews>
  <sheetFormatPr defaultRowHeight="12.75" x14ac:dyDescent="0.2"/>
  <cols>
    <col min="1" max="1" width="7.42578125" customWidth="1"/>
    <col min="2" max="2" width="18.85546875" bestFit="1" customWidth="1"/>
    <col min="3" max="5" width="12.7109375" customWidth="1"/>
    <col min="6" max="6" width="14.85546875" customWidth="1"/>
    <col min="7" max="7" width="15.42578125" customWidth="1"/>
    <col min="8" max="8" width="15.7109375" customWidth="1"/>
    <col min="9" max="9" width="14.140625" customWidth="1"/>
    <col min="10" max="10" width="14.42578125" customWidth="1"/>
    <col min="11" max="11" width="15" customWidth="1"/>
    <col min="12" max="12" width="15.42578125" customWidth="1"/>
  </cols>
  <sheetData>
    <row r="1" spans="1:12" ht="15" x14ac:dyDescent="0.2">
      <c r="A1" s="81"/>
      <c r="B1" s="81"/>
      <c r="C1" s="81"/>
      <c r="D1" s="81"/>
      <c r="E1" s="81"/>
      <c r="F1" s="81"/>
      <c r="G1" s="81"/>
      <c r="H1" s="81"/>
      <c r="K1" s="928" t="s">
        <v>88</v>
      </c>
      <c r="L1" s="928"/>
    </row>
    <row r="2" spans="1:12" ht="15.75" x14ac:dyDescent="0.25">
      <c r="A2" s="1055" t="s">
        <v>0</v>
      </c>
      <c r="B2" s="1055"/>
      <c r="C2" s="1055"/>
      <c r="D2" s="1055"/>
      <c r="E2" s="1055"/>
      <c r="F2" s="1055"/>
      <c r="G2" s="1055"/>
      <c r="H2" s="1055"/>
      <c r="I2" s="81"/>
      <c r="J2" s="81"/>
      <c r="K2" s="81"/>
      <c r="L2" s="81"/>
    </row>
    <row r="3" spans="1:12" ht="20.25" x14ac:dyDescent="0.3">
      <c r="A3" s="872" t="s">
        <v>740</v>
      </c>
      <c r="B3" s="872"/>
      <c r="C3" s="872"/>
      <c r="D3" s="872"/>
      <c r="E3" s="872"/>
      <c r="F3" s="872"/>
      <c r="G3" s="872"/>
      <c r="H3" s="872"/>
      <c r="I3" s="81"/>
      <c r="J3" s="81"/>
      <c r="K3" s="81"/>
      <c r="L3" s="81"/>
    </row>
    <row r="4" spans="1:12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 x14ac:dyDescent="0.25">
      <c r="A5" s="873" t="s">
        <v>864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</row>
    <row r="6" spans="1:12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.75" x14ac:dyDescent="0.25">
      <c r="A7" s="986" t="s">
        <v>920</v>
      </c>
      <c r="B7" s="986"/>
      <c r="C7" s="81"/>
      <c r="D7" s="81"/>
      <c r="E7" s="81"/>
      <c r="F7" s="81"/>
      <c r="G7" s="81"/>
      <c r="H7" s="228"/>
      <c r="I7" s="81"/>
      <c r="J7" s="81"/>
      <c r="K7" s="81"/>
      <c r="L7" s="81"/>
    </row>
    <row r="8" spans="1:12" ht="18" x14ac:dyDescent="0.25">
      <c r="A8" s="84"/>
      <c r="B8" s="84"/>
      <c r="C8" s="81"/>
      <c r="D8" s="81"/>
      <c r="E8" s="81"/>
      <c r="F8" s="81"/>
      <c r="G8" s="81"/>
      <c r="H8" s="81"/>
      <c r="I8" s="99"/>
      <c r="J8" s="118"/>
      <c r="K8" s="921" t="s">
        <v>830</v>
      </c>
      <c r="L8" s="921"/>
    </row>
    <row r="9" spans="1:12" ht="27.75" customHeight="1" x14ac:dyDescent="0.2">
      <c r="A9" s="1053" t="s">
        <v>213</v>
      </c>
      <c r="B9" s="1053" t="s">
        <v>212</v>
      </c>
      <c r="C9" s="834" t="s">
        <v>484</v>
      </c>
      <c r="D9" s="834" t="s">
        <v>485</v>
      </c>
      <c r="E9" s="824" t="s">
        <v>486</v>
      </c>
      <c r="F9" s="824"/>
      <c r="G9" s="824" t="s">
        <v>443</v>
      </c>
      <c r="H9" s="824"/>
      <c r="I9" s="824" t="s">
        <v>223</v>
      </c>
      <c r="J9" s="824"/>
      <c r="K9" s="913" t="s">
        <v>224</v>
      </c>
      <c r="L9" s="913"/>
    </row>
    <row r="10" spans="1:12" ht="57" customHeight="1" x14ac:dyDescent="0.2">
      <c r="A10" s="1054"/>
      <c r="B10" s="1054"/>
      <c r="C10" s="834"/>
      <c r="D10" s="834"/>
      <c r="E10" s="5" t="s">
        <v>211</v>
      </c>
      <c r="F10" s="5" t="s">
        <v>194</v>
      </c>
      <c r="G10" s="5" t="s">
        <v>211</v>
      </c>
      <c r="H10" s="5" t="s">
        <v>194</v>
      </c>
      <c r="I10" s="5" t="s">
        <v>211</v>
      </c>
      <c r="J10" s="5" t="s">
        <v>194</v>
      </c>
      <c r="K10" s="5" t="s">
        <v>714</v>
      </c>
      <c r="L10" s="5" t="s">
        <v>713</v>
      </c>
    </row>
    <row r="11" spans="1:12" s="14" customFormat="1" x14ac:dyDescent="0.2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</row>
    <row r="12" spans="1:12" ht="15" x14ac:dyDescent="0.2">
      <c r="A12" s="17">
        <v>1</v>
      </c>
      <c r="B12" s="273" t="s">
        <v>896</v>
      </c>
      <c r="C12" s="9">
        <v>2124</v>
      </c>
      <c r="D12" s="9">
        <v>160814</v>
      </c>
      <c r="E12" s="9">
        <v>2124</v>
      </c>
      <c r="F12" s="9">
        <v>160814</v>
      </c>
      <c r="G12" s="9">
        <v>2124</v>
      </c>
      <c r="H12" s="9">
        <v>72589</v>
      </c>
      <c r="I12" s="9">
        <v>2177</v>
      </c>
      <c r="J12" s="9">
        <v>160814</v>
      </c>
      <c r="K12" s="9">
        <v>0</v>
      </c>
      <c r="L12" s="9">
        <v>0</v>
      </c>
    </row>
    <row r="13" spans="1:12" ht="15" x14ac:dyDescent="0.2">
      <c r="A13" s="17">
        <v>2</v>
      </c>
      <c r="B13" s="273" t="s">
        <v>897</v>
      </c>
      <c r="C13" s="9">
        <v>1280</v>
      </c>
      <c r="D13" s="9">
        <v>88160</v>
      </c>
      <c r="E13" s="9">
        <v>1280</v>
      </c>
      <c r="F13" s="9">
        <v>88160</v>
      </c>
      <c r="G13" s="9">
        <v>804</v>
      </c>
      <c r="H13" s="368">
        <v>37018</v>
      </c>
      <c r="I13" s="9">
        <v>804</v>
      </c>
      <c r="J13" s="368">
        <v>37018</v>
      </c>
      <c r="K13" s="9">
        <v>0</v>
      </c>
      <c r="L13" s="9">
        <v>0</v>
      </c>
    </row>
    <row r="14" spans="1:12" ht="15" x14ac:dyDescent="0.2">
      <c r="A14" s="17">
        <v>3</v>
      </c>
      <c r="B14" s="273" t="s">
        <v>898</v>
      </c>
      <c r="C14" s="9">
        <v>491</v>
      </c>
      <c r="D14" s="9">
        <v>65515</v>
      </c>
      <c r="E14" s="9">
        <v>491</v>
      </c>
      <c r="F14" s="9">
        <v>65515</v>
      </c>
      <c r="G14" s="9">
        <v>491</v>
      </c>
      <c r="H14" s="9">
        <v>58963</v>
      </c>
      <c r="I14" s="9">
        <v>491</v>
      </c>
      <c r="J14" s="9">
        <v>65515</v>
      </c>
      <c r="K14" s="9">
        <v>491</v>
      </c>
      <c r="L14" s="9">
        <v>0</v>
      </c>
    </row>
    <row r="15" spans="1:12" ht="15" x14ac:dyDescent="0.2">
      <c r="A15" s="17">
        <v>4</v>
      </c>
      <c r="B15" s="273" t="s">
        <v>899</v>
      </c>
      <c r="C15" s="9">
        <v>1519</v>
      </c>
      <c r="D15" s="368">
        <v>124053</v>
      </c>
      <c r="E15" s="9">
        <v>1519</v>
      </c>
      <c r="F15" s="368">
        <v>124053</v>
      </c>
      <c r="G15" s="9">
        <v>1519</v>
      </c>
      <c r="H15" s="368">
        <v>38779</v>
      </c>
      <c r="I15" s="9">
        <v>1519</v>
      </c>
      <c r="J15" s="368">
        <v>26490</v>
      </c>
      <c r="K15" s="9">
        <v>0</v>
      </c>
      <c r="L15" s="9">
        <v>0</v>
      </c>
    </row>
    <row r="16" spans="1:12" ht="15" x14ac:dyDescent="0.2">
      <c r="A16" s="17">
        <v>5</v>
      </c>
      <c r="B16" s="273" t="s">
        <v>900</v>
      </c>
      <c r="C16" s="368">
        <v>968</v>
      </c>
      <c r="D16" s="368">
        <v>49318</v>
      </c>
      <c r="E16" s="368">
        <v>968</v>
      </c>
      <c r="F16" s="368">
        <v>49318</v>
      </c>
      <c r="G16" s="368">
        <v>383</v>
      </c>
      <c r="H16" s="368">
        <v>21917</v>
      </c>
      <c r="I16" s="368">
        <v>968</v>
      </c>
      <c r="J16" s="368">
        <v>73310</v>
      </c>
      <c r="K16" s="368">
        <v>0</v>
      </c>
      <c r="L16" s="368">
        <v>0</v>
      </c>
    </row>
    <row r="17" spans="1:12" ht="15" x14ac:dyDescent="0.2">
      <c r="A17" s="17">
        <v>6</v>
      </c>
      <c r="B17" s="273" t="s">
        <v>901</v>
      </c>
      <c r="C17" s="9">
        <v>1620</v>
      </c>
      <c r="D17" s="9">
        <v>172287</v>
      </c>
      <c r="E17" s="9">
        <v>1620</v>
      </c>
      <c r="F17" s="9">
        <v>172287</v>
      </c>
      <c r="G17" s="9">
        <v>939</v>
      </c>
      <c r="H17" s="9">
        <v>252947</v>
      </c>
      <c r="I17" s="9">
        <v>1581</v>
      </c>
      <c r="J17" s="9">
        <v>166971</v>
      </c>
      <c r="K17" s="9">
        <v>164</v>
      </c>
      <c r="L17" s="9">
        <v>25</v>
      </c>
    </row>
    <row r="18" spans="1:12" ht="15" x14ac:dyDescent="0.2">
      <c r="A18" s="17">
        <v>7</v>
      </c>
      <c r="B18" s="273" t="s">
        <v>902</v>
      </c>
      <c r="C18" s="9">
        <v>1381</v>
      </c>
      <c r="D18" s="9">
        <v>118997</v>
      </c>
      <c r="E18" s="9">
        <v>1381</v>
      </c>
      <c r="F18" s="9">
        <v>118997</v>
      </c>
      <c r="G18" s="9">
        <v>1381</v>
      </c>
      <c r="H18" s="9">
        <v>118997</v>
      </c>
      <c r="I18" s="9">
        <v>1381</v>
      </c>
      <c r="J18" s="9">
        <v>118997</v>
      </c>
      <c r="K18" s="9">
        <v>0</v>
      </c>
      <c r="L18" s="9">
        <v>0</v>
      </c>
    </row>
    <row r="19" spans="1:12" ht="15" x14ac:dyDescent="0.2">
      <c r="A19" s="17">
        <v>8</v>
      </c>
      <c r="B19" s="273" t="s">
        <v>903</v>
      </c>
      <c r="C19" s="9">
        <v>2040</v>
      </c>
      <c r="D19" s="9">
        <v>253745</v>
      </c>
      <c r="E19" s="9">
        <v>2040</v>
      </c>
      <c r="F19" s="9">
        <v>253745</v>
      </c>
      <c r="G19" s="9">
        <v>2040</v>
      </c>
      <c r="H19" s="9">
        <v>143819</v>
      </c>
      <c r="I19" s="9">
        <v>2040</v>
      </c>
      <c r="J19" s="9">
        <v>253745</v>
      </c>
      <c r="K19" s="9">
        <v>5168</v>
      </c>
      <c r="L19" s="9">
        <v>195</v>
      </c>
    </row>
    <row r="20" spans="1:12" ht="15" x14ac:dyDescent="0.2">
      <c r="A20" s="17">
        <v>9</v>
      </c>
      <c r="B20" s="273" t="s">
        <v>904</v>
      </c>
      <c r="C20" s="9">
        <v>2499</v>
      </c>
      <c r="D20" s="368">
        <v>272395</v>
      </c>
      <c r="E20" s="9">
        <v>2499</v>
      </c>
      <c r="F20" s="368">
        <v>272395</v>
      </c>
      <c r="G20" s="9">
        <v>2499</v>
      </c>
      <c r="H20" s="9">
        <v>81708</v>
      </c>
      <c r="I20" s="9">
        <v>0</v>
      </c>
      <c r="J20" s="9">
        <v>0</v>
      </c>
      <c r="K20" s="9">
        <v>0</v>
      </c>
      <c r="L20" s="9">
        <v>0</v>
      </c>
    </row>
    <row r="21" spans="1:12" ht="15" x14ac:dyDescent="0.2">
      <c r="A21" s="17">
        <v>10</v>
      </c>
      <c r="B21" s="273" t="s">
        <v>905</v>
      </c>
      <c r="C21" s="9">
        <v>1039</v>
      </c>
      <c r="D21" s="9">
        <v>77277</v>
      </c>
      <c r="E21" s="9">
        <v>1039</v>
      </c>
      <c r="F21" s="9">
        <v>77277</v>
      </c>
      <c r="G21" s="9">
        <v>400</v>
      </c>
      <c r="H21" s="9">
        <v>11419</v>
      </c>
      <c r="I21" s="9">
        <v>1039</v>
      </c>
      <c r="J21" s="9">
        <v>77277</v>
      </c>
      <c r="K21" s="9">
        <v>0</v>
      </c>
      <c r="L21" s="9">
        <v>0</v>
      </c>
    </row>
    <row r="22" spans="1:12" ht="15" x14ac:dyDescent="0.2">
      <c r="A22" s="17">
        <v>11</v>
      </c>
      <c r="B22" s="273" t="s">
        <v>906</v>
      </c>
      <c r="C22" s="9">
        <v>1421</v>
      </c>
      <c r="D22" s="9">
        <v>212173</v>
      </c>
      <c r="E22" s="9">
        <v>1421</v>
      </c>
      <c r="F22" s="9">
        <v>212173</v>
      </c>
      <c r="G22" s="9">
        <v>627</v>
      </c>
      <c r="H22" s="9">
        <v>29577</v>
      </c>
      <c r="I22" s="9">
        <v>0</v>
      </c>
      <c r="J22" s="9">
        <v>0</v>
      </c>
      <c r="K22" s="9">
        <v>0</v>
      </c>
      <c r="L22" s="9">
        <v>0</v>
      </c>
    </row>
    <row r="23" spans="1:12" ht="15" x14ac:dyDescent="0.2">
      <c r="A23" s="17">
        <v>12</v>
      </c>
      <c r="B23" s="273" t="s">
        <v>907</v>
      </c>
      <c r="C23" s="9">
        <v>1479</v>
      </c>
      <c r="D23" s="9">
        <v>171358</v>
      </c>
      <c r="E23" s="9">
        <v>1479</v>
      </c>
      <c r="F23" s="9">
        <v>171358</v>
      </c>
      <c r="G23" s="9">
        <v>1347</v>
      </c>
      <c r="H23" s="9">
        <v>148767</v>
      </c>
      <c r="I23" s="9">
        <v>1456</v>
      </c>
      <c r="J23" s="9">
        <v>169281</v>
      </c>
      <c r="K23" s="9">
        <v>711</v>
      </c>
      <c r="L23" s="9">
        <v>10771</v>
      </c>
    </row>
    <row r="24" spans="1:12" ht="15" x14ac:dyDescent="0.2">
      <c r="A24" s="17">
        <v>13</v>
      </c>
      <c r="B24" s="273" t="s">
        <v>908</v>
      </c>
      <c r="C24" s="9">
        <v>587</v>
      </c>
      <c r="D24" s="9">
        <v>74539</v>
      </c>
      <c r="E24" s="9">
        <v>587</v>
      </c>
      <c r="F24" s="9">
        <v>74539</v>
      </c>
      <c r="G24" s="9">
        <v>238</v>
      </c>
      <c r="H24" s="9">
        <v>12106</v>
      </c>
      <c r="I24" s="9">
        <v>587</v>
      </c>
      <c r="J24" s="9">
        <v>59631</v>
      </c>
      <c r="K24" s="9">
        <v>0</v>
      </c>
      <c r="L24" s="9">
        <v>0</v>
      </c>
    </row>
    <row r="25" spans="1:12" ht="15" x14ac:dyDescent="0.2">
      <c r="A25" s="17">
        <v>14</v>
      </c>
      <c r="B25" s="273" t="s">
        <v>909</v>
      </c>
      <c r="C25" s="9">
        <v>659</v>
      </c>
      <c r="D25" s="9">
        <v>87136</v>
      </c>
      <c r="E25" s="9">
        <v>659</v>
      </c>
      <c r="F25" s="9">
        <v>87136</v>
      </c>
      <c r="G25" s="9">
        <v>659</v>
      </c>
      <c r="H25" s="9">
        <v>87136</v>
      </c>
      <c r="I25" s="9">
        <v>659</v>
      </c>
      <c r="J25" s="9">
        <v>87136</v>
      </c>
      <c r="K25" s="9">
        <v>0</v>
      </c>
      <c r="L25" s="9">
        <v>0</v>
      </c>
    </row>
    <row r="26" spans="1:12" ht="15" x14ac:dyDescent="0.2">
      <c r="A26" s="17">
        <v>15</v>
      </c>
      <c r="B26" s="273" t="s">
        <v>910</v>
      </c>
      <c r="C26" s="9">
        <v>1542</v>
      </c>
      <c r="D26" s="9">
        <v>176779</v>
      </c>
      <c r="E26" s="9">
        <v>1542</v>
      </c>
      <c r="F26" s="9">
        <v>176779</v>
      </c>
      <c r="G26" s="9">
        <v>1542</v>
      </c>
      <c r="H26" s="9">
        <v>176779</v>
      </c>
      <c r="I26" s="9">
        <v>1542</v>
      </c>
      <c r="J26" s="9">
        <v>176779</v>
      </c>
      <c r="K26" s="9">
        <v>0</v>
      </c>
      <c r="L26" s="9">
        <v>0</v>
      </c>
    </row>
    <row r="27" spans="1:12" ht="15" x14ac:dyDescent="0.2">
      <c r="A27" s="17">
        <v>16</v>
      </c>
      <c r="B27" s="273" t="s">
        <v>911</v>
      </c>
      <c r="C27" s="9">
        <v>3136</v>
      </c>
      <c r="D27" s="9">
        <v>342302</v>
      </c>
      <c r="E27" s="9">
        <v>3136</v>
      </c>
      <c r="F27" s="9">
        <v>342302</v>
      </c>
      <c r="G27" s="9">
        <v>1248</v>
      </c>
      <c r="H27" s="9">
        <v>75651</v>
      </c>
      <c r="I27" s="9">
        <v>3136</v>
      </c>
      <c r="J27" s="9">
        <v>325348</v>
      </c>
      <c r="K27" s="9">
        <v>93</v>
      </c>
      <c r="L27" s="9">
        <v>51</v>
      </c>
    </row>
    <row r="28" spans="1:12" ht="16.5" customHeight="1" x14ac:dyDescent="0.2">
      <c r="A28" s="17">
        <v>17</v>
      </c>
      <c r="B28" s="273" t="s">
        <v>912</v>
      </c>
      <c r="C28" s="9">
        <v>1694</v>
      </c>
      <c r="D28" s="9">
        <v>173303</v>
      </c>
      <c r="E28" s="9">
        <v>1694</v>
      </c>
      <c r="F28" s="9">
        <v>173303</v>
      </c>
      <c r="G28" s="9">
        <v>1377</v>
      </c>
      <c r="H28" s="9">
        <v>116223</v>
      </c>
      <c r="I28" s="9">
        <v>1210</v>
      </c>
      <c r="J28" s="9">
        <v>119370</v>
      </c>
      <c r="K28" s="9">
        <v>70</v>
      </c>
      <c r="L28" s="9">
        <v>50</v>
      </c>
    </row>
    <row r="29" spans="1:12" ht="15" x14ac:dyDescent="0.2">
      <c r="A29" s="17">
        <v>18</v>
      </c>
      <c r="B29" s="273" t="s">
        <v>913</v>
      </c>
      <c r="C29" s="9">
        <v>1517</v>
      </c>
      <c r="D29" s="9">
        <v>151529</v>
      </c>
      <c r="E29" s="9">
        <v>1517</v>
      </c>
      <c r="F29" s="9">
        <v>151529</v>
      </c>
      <c r="G29" s="9">
        <v>1349</v>
      </c>
      <c r="H29" s="9">
        <v>111398</v>
      </c>
      <c r="I29" s="9">
        <v>1434</v>
      </c>
      <c r="J29" s="9">
        <v>154981</v>
      </c>
      <c r="K29" s="9">
        <v>113</v>
      </c>
      <c r="L29" s="9">
        <v>83</v>
      </c>
    </row>
    <row r="30" spans="1:12" ht="15" x14ac:dyDescent="0.2">
      <c r="A30" s="17">
        <v>19</v>
      </c>
      <c r="B30" s="273" t="s">
        <v>914</v>
      </c>
      <c r="C30" s="9">
        <v>335</v>
      </c>
      <c r="D30" s="368">
        <v>83149</v>
      </c>
      <c r="E30" s="9">
        <v>335</v>
      </c>
      <c r="F30" s="368">
        <v>83149</v>
      </c>
      <c r="G30" s="9">
        <v>335</v>
      </c>
      <c r="H30" s="9">
        <v>22869</v>
      </c>
      <c r="I30" s="9">
        <v>264</v>
      </c>
      <c r="J30" s="9">
        <v>81330</v>
      </c>
      <c r="K30" s="9">
        <v>272</v>
      </c>
      <c r="L30" s="9">
        <v>380</v>
      </c>
    </row>
    <row r="31" spans="1:12" ht="15" x14ac:dyDescent="0.2">
      <c r="A31" s="17">
        <v>20</v>
      </c>
      <c r="B31" s="273" t="s">
        <v>915</v>
      </c>
      <c r="C31" s="9">
        <v>1015</v>
      </c>
      <c r="D31" s="9">
        <v>113055</v>
      </c>
      <c r="E31" s="9">
        <v>1015</v>
      </c>
      <c r="F31" s="9">
        <v>113055</v>
      </c>
      <c r="G31" s="9">
        <v>1020</v>
      </c>
      <c r="H31" s="9">
        <v>111648</v>
      </c>
      <c r="I31" s="9">
        <v>1018</v>
      </c>
      <c r="J31" s="9">
        <v>110153</v>
      </c>
      <c r="K31" s="9">
        <v>261</v>
      </c>
      <c r="L31" s="9">
        <v>92</v>
      </c>
    </row>
    <row r="32" spans="1:12" ht="15" x14ac:dyDescent="0.2">
      <c r="A32" s="17">
        <v>21</v>
      </c>
      <c r="B32" s="273" t="s">
        <v>916</v>
      </c>
      <c r="C32" s="9">
        <v>1286</v>
      </c>
      <c r="D32" s="368">
        <v>159044</v>
      </c>
      <c r="E32" s="9">
        <v>1286</v>
      </c>
      <c r="F32" s="368">
        <v>159044</v>
      </c>
      <c r="G32" s="9">
        <v>1286</v>
      </c>
      <c r="H32" s="9">
        <v>50574</v>
      </c>
      <c r="I32" s="9">
        <v>1286</v>
      </c>
      <c r="J32" s="368">
        <v>166333</v>
      </c>
      <c r="K32" s="9">
        <v>0</v>
      </c>
      <c r="L32" s="9">
        <v>0</v>
      </c>
    </row>
    <row r="33" spans="1:12" ht="15" x14ac:dyDescent="0.2">
      <c r="A33" s="17">
        <v>22</v>
      </c>
      <c r="B33" s="273" t="s">
        <v>917</v>
      </c>
      <c r="C33" s="9">
        <v>1011</v>
      </c>
      <c r="D33" s="9">
        <v>143632</v>
      </c>
      <c r="E33" s="9">
        <v>1011</v>
      </c>
      <c r="F33" s="9">
        <v>143632</v>
      </c>
      <c r="G33" s="368">
        <v>390</v>
      </c>
      <c r="H33" s="368">
        <v>44526</v>
      </c>
      <c r="I33" s="368">
        <v>277</v>
      </c>
      <c r="J33" s="368">
        <v>27290</v>
      </c>
      <c r="K33" s="368">
        <v>84</v>
      </c>
      <c r="L33" s="368">
        <v>7181</v>
      </c>
    </row>
    <row r="34" spans="1:12" ht="15" x14ac:dyDescent="0.2">
      <c r="A34" s="17">
        <v>23</v>
      </c>
      <c r="B34" s="273" t="s">
        <v>918</v>
      </c>
      <c r="C34" s="9">
        <v>1540</v>
      </c>
      <c r="D34" s="9">
        <v>36646</v>
      </c>
      <c r="E34" s="9">
        <v>1540</v>
      </c>
      <c r="F34" s="9">
        <v>36646</v>
      </c>
      <c r="G34" s="9">
        <v>413</v>
      </c>
      <c r="H34" s="9">
        <v>44267</v>
      </c>
      <c r="I34" s="9">
        <v>413</v>
      </c>
      <c r="J34" s="9">
        <v>57267</v>
      </c>
      <c r="K34" s="9">
        <v>0</v>
      </c>
      <c r="L34" s="9">
        <v>0</v>
      </c>
    </row>
    <row r="35" spans="1:12" ht="15" x14ac:dyDescent="0.2">
      <c r="A35" s="17">
        <v>24</v>
      </c>
      <c r="B35" s="274" t="s">
        <v>919</v>
      </c>
      <c r="C35" s="9">
        <v>434</v>
      </c>
      <c r="D35" s="9">
        <v>150882</v>
      </c>
      <c r="E35" s="9">
        <v>434</v>
      </c>
      <c r="F35" s="9">
        <v>150882</v>
      </c>
      <c r="G35" s="9">
        <v>304</v>
      </c>
      <c r="H35" s="9">
        <v>27659</v>
      </c>
      <c r="I35" s="9">
        <v>284</v>
      </c>
      <c r="J35" s="9">
        <v>118448</v>
      </c>
      <c r="K35" s="9">
        <v>254</v>
      </c>
      <c r="L35" s="9">
        <v>530</v>
      </c>
    </row>
    <row r="36" spans="1:12" s="14" customFormat="1" ht="15" customHeight="1" x14ac:dyDescent="0.2">
      <c r="A36" s="802" t="s">
        <v>18</v>
      </c>
      <c r="B36" s="802"/>
      <c r="C36" s="27">
        <f t="shared" ref="C36:L36" si="0">SUM(C12:C35)</f>
        <v>32617</v>
      </c>
      <c r="D36" s="27">
        <f t="shared" si="0"/>
        <v>3458088</v>
      </c>
      <c r="E36" s="27">
        <f t="shared" si="0"/>
        <v>32617</v>
      </c>
      <c r="F36" s="27">
        <f t="shared" si="0"/>
        <v>3458088</v>
      </c>
      <c r="G36" s="27">
        <f t="shared" si="0"/>
        <v>24715</v>
      </c>
      <c r="H36" s="27">
        <f t="shared" si="0"/>
        <v>1897336</v>
      </c>
      <c r="I36" s="27">
        <f t="shared" si="0"/>
        <v>25566</v>
      </c>
      <c r="J36" s="27">
        <f t="shared" si="0"/>
        <v>2633484</v>
      </c>
      <c r="K36" s="27">
        <f t="shared" si="0"/>
        <v>7681</v>
      </c>
      <c r="L36" s="27">
        <f t="shared" si="0"/>
        <v>19358</v>
      </c>
    </row>
    <row r="37" spans="1:12" ht="15" x14ac:dyDescent="0.2">
      <c r="A37" s="267"/>
      <c r="B37" s="394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x14ac:dyDescent="0.25">
      <c r="A38" s="51" t="s">
        <v>22</v>
      </c>
      <c r="B38" s="394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">
      <c r="A39" s="267"/>
      <c r="B39" s="20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customHeight="1" x14ac:dyDescent="0.2">
      <c r="A40" s="898" t="s">
        <v>13</v>
      </c>
      <c r="B40" s="898"/>
      <c r="C40" s="898"/>
      <c r="D40" s="898"/>
      <c r="E40" s="898"/>
      <c r="F40" s="898"/>
      <c r="G40" s="898"/>
      <c r="H40" s="898"/>
      <c r="I40" s="898"/>
      <c r="J40" s="898"/>
      <c r="K40" s="81"/>
      <c r="L40" s="81"/>
    </row>
    <row r="41" spans="1:12" ht="15.6" customHeight="1" x14ac:dyDescent="0.2">
      <c r="A41" s="898" t="s">
        <v>14</v>
      </c>
      <c r="B41" s="898"/>
      <c r="C41" s="898"/>
      <c r="D41" s="898"/>
      <c r="E41" s="898"/>
      <c r="F41" s="898"/>
      <c r="G41" s="898"/>
      <c r="H41" s="898"/>
      <c r="I41" s="898"/>
      <c r="J41" s="898"/>
      <c r="K41" s="81"/>
      <c r="L41" s="81"/>
    </row>
    <row r="42" spans="1:12" x14ac:dyDescent="0.2">
      <c r="A42" s="81"/>
      <c r="B42" s="81"/>
      <c r="C42" s="81"/>
      <c r="D42" s="81"/>
      <c r="E42" s="81"/>
      <c r="F42" s="81"/>
      <c r="I42" s="33" t="s">
        <v>84</v>
      </c>
      <c r="J42" s="33"/>
      <c r="K42" s="33"/>
      <c r="L42" s="33"/>
    </row>
  </sheetData>
  <mergeCells count="17">
    <mergeCell ref="K1:L1"/>
    <mergeCell ref="A40:J40"/>
    <mergeCell ref="G9:H9"/>
    <mergeCell ref="D9:D10"/>
    <mergeCell ref="E9:F9"/>
    <mergeCell ref="I9:J9"/>
    <mergeCell ref="K9:L9"/>
    <mergeCell ref="K8:L8"/>
    <mergeCell ref="A36:B36"/>
    <mergeCell ref="A41:J41"/>
    <mergeCell ref="B9:B10"/>
    <mergeCell ref="A9:A10"/>
    <mergeCell ref="C9:C10"/>
    <mergeCell ref="A2:H2"/>
    <mergeCell ref="A3:H3"/>
    <mergeCell ref="A7:B7"/>
    <mergeCell ref="A5:L5"/>
  </mergeCells>
  <printOptions horizontalCentered="1"/>
  <pageMargins left="0.70866141732283472" right="0.26" top="0.23622047244094491" bottom="0" header="0.31496062992125984" footer="0.31496062992125984"/>
  <pageSetup paperSize="9" scale="82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N53"/>
  <sheetViews>
    <sheetView topLeftCell="A13" zoomScaleSheetLayoutView="100" workbookViewId="0">
      <selection activeCell="C29" sqref="C29"/>
    </sheetView>
  </sheetViews>
  <sheetFormatPr defaultColWidth="8.85546875" defaultRowHeight="12.75" x14ac:dyDescent="0.2"/>
  <cols>
    <col min="1" max="1" width="7.42578125" style="81" customWidth="1"/>
    <col min="2" max="2" width="19.140625" style="81" customWidth="1"/>
    <col min="3" max="3" width="20.5703125" style="81" customWidth="1"/>
    <col min="4" max="4" width="22.28515625" style="81" customWidth="1"/>
    <col min="5" max="5" width="25.42578125" style="81" customWidth="1"/>
    <col min="6" max="6" width="27.42578125" style="81" customWidth="1"/>
    <col min="7" max="16384" width="8.85546875" style="81"/>
  </cols>
  <sheetData>
    <row r="1" spans="1:14" ht="12.75" customHeight="1" x14ac:dyDescent="0.2">
      <c r="D1" s="224"/>
      <c r="E1" s="224"/>
      <c r="F1" s="225" t="s">
        <v>101</v>
      </c>
    </row>
    <row r="2" spans="1:14" ht="15" customHeight="1" x14ac:dyDescent="0.25">
      <c r="B2" s="1055" t="s">
        <v>0</v>
      </c>
      <c r="C2" s="1055"/>
      <c r="D2" s="1055"/>
      <c r="E2" s="1055"/>
      <c r="F2" s="1055"/>
    </row>
    <row r="3" spans="1:14" ht="20.25" x14ac:dyDescent="0.3">
      <c r="B3" s="872" t="s">
        <v>740</v>
      </c>
      <c r="C3" s="872"/>
      <c r="D3" s="872"/>
      <c r="E3" s="872"/>
      <c r="F3" s="872"/>
    </row>
    <row r="4" spans="1:14" ht="11.25" customHeight="1" x14ac:dyDescent="0.2"/>
    <row r="5" spans="1:14" x14ac:dyDescent="0.2">
      <c r="A5" s="1056" t="s">
        <v>440</v>
      </c>
      <c r="B5" s="1056"/>
      <c r="C5" s="1056"/>
      <c r="D5" s="1056"/>
      <c r="E5" s="1056"/>
      <c r="F5" s="1056"/>
    </row>
    <row r="6" spans="1:14" ht="8.4499999999999993" customHeight="1" x14ac:dyDescent="0.25">
      <c r="A6" s="83"/>
      <c r="B6" s="83"/>
      <c r="C6" s="83"/>
      <c r="D6" s="83"/>
      <c r="E6" s="83"/>
      <c r="F6" s="83"/>
    </row>
    <row r="7" spans="1:14" ht="18" customHeight="1" x14ac:dyDescent="0.2">
      <c r="A7" s="820" t="s">
        <v>920</v>
      </c>
      <c r="B7" s="820"/>
    </row>
    <row r="8" spans="1:14" ht="18" hidden="1" customHeight="1" x14ac:dyDescent="0.25">
      <c r="A8" s="84" t="s">
        <v>1</v>
      </c>
    </row>
    <row r="9" spans="1:14" ht="30.6" customHeight="1" x14ac:dyDescent="0.2">
      <c r="A9" s="1053" t="s">
        <v>2</v>
      </c>
      <c r="B9" s="1053" t="s">
        <v>3</v>
      </c>
      <c r="C9" s="1057" t="s">
        <v>436</v>
      </c>
      <c r="D9" s="1057"/>
      <c r="E9" s="1057" t="s">
        <v>439</v>
      </c>
      <c r="F9" s="1057"/>
    </row>
    <row r="10" spans="1:14" s="90" customFormat="1" ht="25.5" x14ac:dyDescent="0.2">
      <c r="A10" s="1053"/>
      <c r="B10" s="1053"/>
      <c r="C10" s="85" t="s">
        <v>437</v>
      </c>
      <c r="D10" s="85" t="s">
        <v>438</v>
      </c>
      <c r="E10" s="85" t="s">
        <v>437</v>
      </c>
      <c r="F10" s="85" t="s">
        <v>438</v>
      </c>
      <c r="G10"/>
      <c r="H10"/>
      <c r="I10"/>
      <c r="J10"/>
      <c r="K10"/>
      <c r="L10"/>
      <c r="M10"/>
      <c r="N10"/>
    </row>
    <row r="11" spans="1:14" s="143" customFormat="1" x14ac:dyDescent="0.2">
      <c r="A11" s="242">
        <v>1</v>
      </c>
      <c r="B11" s="242">
        <v>2</v>
      </c>
      <c r="C11" s="242">
        <v>3</v>
      </c>
      <c r="D11" s="242">
        <v>4</v>
      </c>
      <c r="E11" s="242">
        <v>5</v>
      </c>
      <c r="F11" s="242">
        <v>6</v>
      </c>
      <c r="G11"/>
      <c r="H11"/>
      <c r="I11"/>
      <c r="J11"/>
      <c r="K11"/>
      <c r="L11"/>
      <c r="M11"/>
      <c r="N11"/>
    </row>
    <row r="12" spans="1:14" customFormat="1" x14ac:dyDescent="0.2">
      <c r="A12" s="17">
        <v>1</v>
      </c>
      <c r="B12" s="176" t="s">
        <v>896</v>
      </c>
      <c r="C12" s="9">
        <f>'AT3A_cvrg(Insti)_PY'!L12</f>
        <v>1332</v>
      </c>
      <c r="D12" s="9">
        <f>C12</f>
        <v>1332</v>
      </c>
      <c r="E12" s="9">
        <f>'AT3B_cvrg(Insti)_UPY '!L11+'AT3C_cvrg(Insti)_UPY '!L11</f>
        <v>845</v>
      </c>
      <c r="F12" s="9">
        <f>E12</f>
        <v>845</v>
      </c>
    </row>
    <row r="13" spans="1:14" customFormat="1" x14ac:dyDescent="0.2">
      <c r="A13" s="17">
        <v>2</v>
      </c>
      <c r="B13" s="176" t="s">
        <v>897</v>
      </c>
      <c r="C13" s="9">
        <f>'AT3A_cvrg(Insti)_PY'!L13</f>
        <v>549</v>
      </c>
      <c r="D13" s="9">
        <f t="shared" ref="D13:D35" si="0">C13</f>
        <v>549</v>
      </c>
      <c r="E13" s="9">
        <f>'AT3B_cvrg(Insti)_UPY '!L12+'AT3C_cvrg(Insti)_UPY '!L12</f>
        <v>319</v>
      </c>
      <c r="F13" s="9">
        <f t="shared" ref="F13:F35" si="1">E13</f>
        <v>319</v>
      </c>
    </row>
    <row r="14" spans="1:14" customFormat="1" x14ac:dyDescent="0.2">
      <c r="A14" s="17">
        <v>3</v>
      </c>
      <c r="B14" s="176" t="s">
        <v>898</v>
      </c>
      <c r="C14" s="9">
        <f>'AT3A_cvrg(Insti)_PY'!L14</f>
        <v>290</v>
      </c>
      <c r="D14" s="9">
        <f t="shared" si="0"/>
        <v>290</v>
      </c>
      <c r="E14" s="9">
        <f>'AT3B_cvrg(Insti)_UPY '!L13+'AT3C_cvrg(Insti)_UPY '!L13</f>
        <v>201</v>
      </c>
      <c r="F14" s="9">
        <f t="shared" si="1"/>
        <v>201</v>
      </c>
    </row>
    <row r="15" spans="1:14" customFormat="1" x14ac:dyDescent="0.2">
      <c r="A15" s="17">
        <v>4</v>
      </c>
      <c r="B15" s="176" t="s">
        <v>899</v>
      </c>
      <c r="C15" s="9">
        <f>'AT3A_cvrg(Insti)_PY'!L15</f>
        <v>919</v>
      </c>
      <c r="D15" s="9">
        <f t="shared" si="0"/>
        <v>919</v>
      </c>
      <c r="E15" s="9">
        <f>'AT3B_cvrg(Insti)_UPY '!L14+'AT3C_cvrg(Insti)_UPY '!L14</f>
        <v>600</v>
      </c>
      <c r="F15" s="9">
        <f t="shared" si="1"/>
        <v>600</v>
      </c>
    </row>
    <row r="16" spans="1:14" customFormat="1" x14ac:dyDescent="0.2">
      <c r="A16" s="17">
        <v>5</v>
      </c>
      <c r="B16" s="176" t="s">
        <v>900</v>
      </c>
      <c r="C16" s="9">
        <f>'AT3A_cvrg(Insti)_PY'!L16</f>
        <v>586</v>
      </c>
      <c r="D16" s="9">
        <f t="shared" si="0"/>
        <v>586</v>
      </c>
      <c r="E16" s="9">
        <f>'AT3B_cvrg(Insti)_UPY '!L15+'AT3C_cvrg(Insti)_UPY '!L15</f>
        <v>382</v>
      </c>
      <c r="F16" s="9">
        <f t="shared" si="1"/>
        <v>382</v>
      </c>
    </row>
    <row r="17" spans="1:6" customFormat="1" x14ac:dyDescent="0.2">
      <c r="A17" s="17">
        <v>6</v>
      </c>
      <c r="B17" s="176" t="s">
        <v>901</v>
      </c>
      <c r="C17" s="9">
        <f>'AT3A_cvrg(Insti)_PY'!L17</f>
        <v>966</v>
      </c>
      <c r="D17" s="9">
        <f t="shared" si="0"/>
        <v>966</v>
      </c>
      <c r="E17" s="9">
        <f>'AT3B_cvrg(Insti)_UPY '!L16+'AT3C_cvrg(Insti)_UPY '!L16</f>
        <v>654</v>
      </c>
      <c r="F17" s="9">
        <f t="shared" si="1"/>
        <v>654</v>
      </c>
    </row>
    <row r="18" spans="1:6" customFormat="1" x14ac:dyDescent="0.2">
      <c r="A18" s="17">
        <v>7</v>
      </c>
      <c r="B18" s="176" t="s">
        <v>902</v>
      </c>
      <c r="C18" s="9">
        <f>'AT3A_cvrg(Insti)_PY'!L18</f>
        <v>821</v>
      </c>
      <c r="D18" s="9">
        <f t="shared" si="0"/>
        <v>821</v>
      </c>
      <c r="E18" s="9">
        <f>'AT3B_cvrg(Insti)_UPY '!L17+'AT3C_cvrg(Insti)_UPY '!L17</f>
        <v>560</v>
      </c>
      <c r="F18" s="9">
        <f t="shared" si="1"/>
        <v>560</v>
      </c>
    </row>
    <row r="19" spans="1:6" customFormat="1" x14ac:dyDescent="0.2">
      <c r="A19" s="17">
        <v>8</v>
      </c>
      <c r="B19" s="176" t="s">
        <v>903</v>
      </c>
      <c r="C19" s="9">
        <f>'AT3A_cvrg(Insti)_PY'!L19</f>
        <v>1379</v>
      </c>
      <c r="D19" s="9">
        <f t="shared" si="0"/>
        <v>1379</v>
      </c>
      <c r="E19" s="9">
        <f>'AT3B_cvrg(Insti)_UPY '!L18+'AT3C_cvrg(Insti)_UPY '!L18</f>
        <v>687</v>
      </c>
      <c r="F19" s="9">
        <f t="shared" si="1"/>
        <v>687</v>
      </c>
    </row>
    <row r="20" spans="1:6" customFormat="1" x14ac:dyDescent="0.2">
      <c r="A20" s="17">
        <v>9</v>
      </c>
      <c r="B20" s="176" t="s">
        <v>904</v>
      </c>
      <c r="C20" s="9">
        <f>'AT3A_cvrg(Insti)_PY'!L20</f>
        <v>1203</v>
      </c>
      <c r="D20" s="9">
        <f t="shared" si="0"/>
        <v>1203</v>
      </c>
      <c r="E20" s="9">
        <f>'AT3B_cvrg(Insti)_UPY '!L19+'AT3C_cvrg(Insti)_UPY '!L19</f>
        <v>1296</v>
      </c>
      <c r="F20" s="9">
        <f t="shared" si="1"/>
        <v>1296</v>
      </c>
    </row>
    <row r="21" spans="1:6" customFormat="1" x14ac:dyDescent="0.2">
      <c r="A21" s="17">
        <v>10</v>
      </c>
      <c r="B21" s="176" t="s">
        <v>905</v>
      </c>
      <c r="C21" s="9">
        <f>'AT3A_cvrg(Insti)_PY'!L21</f>
        <v>632</v>
      </c>
      <c r="D21" s="9">
        <f t="shared" si="0"/>
        <v>632</v>
      </c>
      <c r="E21" s="9">
        <f>'AT3B_cvrg(Insti)_UPY '!L20+'AT3C_cvrg(Insti)_UPY '!L20</f>
        <v>405</v>
      </c>
      <c r="F21" s="9">
        <f t="shared" si="1"/>
        <v>405</v>
      </c>
    </row>
    <row r="22" spans="1:6" customFormat="1" x14ac:dyDescent="0.2">
      <c r="A22" s="17">
        <v>11</v>
      </c>
      <c r="B22" s="176" t="s">
        <v>906</v>
      </c>
      <c r="C22" s="9">
        <f>'AT3A_cvrg(Insti)_PY'!L22</f>
        <v>980</v>
      </c>
      <c r="D22" s="9">
        <f t="shared" si="0"/>
        <v>980</v>
      </c>
      <c r="E22" s="9">
        <f>'AT3B_cvrg(Insti)_UPY '!L21+'AT3C_cvrg(Insti)_UPY '!L21</f>
        <v>440</v>
      </c>
      <c r="F22" s="9">
        <f t="shared" si="1"/>
        <v>440</v>
      </c>
    </row>
    <row r="23" spans="1:6" customFormat="1" x14ac:dyDescent="0.2">
      <c r="A23" s="17">
        <v>12</v>
      </c>
      <c r="B23" s="269" t="s">
        <v>907</v>
      </c>
      <c r="C23" s="9">
        <f>'AT3A_cvrg(Insti)_PY'!L23</f>
        <v>899</v>
      </c>
      <c r="D23" s="9">
        <f t="shared" si="0"/>
        <v>899</v>
      </c>
      <c r="E23" s="9">
        <f>'AT3B_cvrg(Insti)_UPY '!L22+'AT3C_cvrg(Insti)_UPY '!L22</f>
        <v>580</v>
      </c>
      <c r="F23" s="9">
        <f t="shared" si="1"/>
        <v>580</v>
      </c>
    </row>
    <row r="24" spans="1:6" customFormat="1" x14ac:dyDescent="0.2">
      <c r="A24" s="17">
        <v>13</v>
      </c>
      <c r="B24" s="176" t="s">
        <v>908</v>
      </c>
      <c r="C24" s="9">
        <f>'AT3A_cvrg(Insti)_PY'!L24</f>
        <v>347</v>
      </c>
      <c r="D24" s="9">
        <f t="shared" si="0"/>
        <v>347</v>
      </c>
      <c r="E24" s="9">
        <f>'AT3B_cvrg(Insti)_UPY '!L23+'AT3C_cvrg(Insti)_UPY '!L23</f>
        <v>240</v>
      </c>
      <c r="F24" s="9">
        <f t="shared" si="1"/>
        <v>240</v>
      </c>
    </row>
    <row r="25" spans="1:6" customFormat="1" x14ac:dyDescent="0.2">
      <c r="A25" s="17">
        <v>14</v>
      </c>
      <c r="B25" s="176" t="s">
        <v>909</v>
      </c>
      <c r="C25" s="9">
        <f>'AT3A_cvrg(Insti)_PY'!L25</f>
        <v>363</v>
      </c>
      <c r="D25" s="9">
        <f t="shared" si="0"/>
        <v>363</v>
      </c>
      <c r="E25" s="9">
        <f>'AT3B_cvrg(Insti)_UPY '!L24+'AT3C_cvrg(Insti)_UPY '!L24</f>
        <v>296</v>
      </c>
      <c r="F25" s="9">
        <f t="shared" si="1"/>
        <v>296</v>
      </c>
    </row>
    <row r="26" spans="1:6" customFormat="1" x14ac:dyDescent="0.2">
      <c r="A26" s="17">
        <v>15</v>
      </c>
      <c r="B26" s="176" t="s">
        <v>910</v>
      </c>
      <c r="C26" s="9">
        <f>'AT3A_cvrg(Insti)_PY'!L26</f>
        <v>895</v>
      </c>
      <c r="D26" s="9">
        <f t="shared" si="0"/>
        <v>895</v>
      </c>
      <c r="E26" s="9">
        <f>'AT3B_cvrg(Insti)_UPY '!L25+'AT3C_cvrg(Insti)_UPY '!L25</f>
        <v>644</v>
      </c>
      <c r="F26" s="9">
        <f t="shared" si="1"/>
        <v>644</v>
      </c>
    </row>
    <row r="27" spans="1:6" customFormat="1" x14ac:dyDescent="0.2">
      <c r="A27" s="17">
        <v>16</v>
      </c>
      <c r="B27" s="176" t="s">
        <v>911</v>
      </c>
      <c r="C27" s="9">
        <f>'AT3A_cvrg(Insti)_PY'!L27</f>
        <v>1888</v>
      </c>
      <c r="D27" s="9">
        <f t="shared" si="0"/>
        <v>1888</v>
      </c>
      <c r="E27" s="9">
        <f>'AT3B_cvrg(Insti)_UPY '!L26+'AT3C_cvrg(Insti)_UPY '!L26</f>
        <v>1248</v>
      </c>
      <c r="F27" s="9">
        <f t="shared" si="1"/>
        <v>1248</v>
      </c>
    </row>
    <row r="28" spans="1:6" customFormat="1" x14ac:dyDescent="0.2">
      <c r="A28" s="17">
        <v>17</v>
      </c>
      <c r="B28" s="176" t="s">
        <v>912</v>
      </c>
      <c r="C28" s="9">
        <f>'AT3A_cvrg(Insti)_PY'!L28</f>
        <v>1091</v>
      </c>
      <c r="D28" s="9">
        <f t="shared" si="0"/>
        <v>1091</v>
      </c>
      <c r="E28" s="9">
        <f>'AT3B_cvrg(Insti)_UPY '!L27+'AT3C_cvrg(Insti)_UPY '!L27</f>
        <v>603</v>
      </c>
      <c r="F28" s="9">
        <f t="shared" si="1"/>
        <v>603</v>
      </c>
    </row>
    <row r="29" spans="1:6" customFormat="1" x14ac:dyDescent="0.2">
      <c r="A29" s="17">
        <v>18</v>
      </c>
      <c r="B29" s="176" t="s">
        <v>913</v>
      </c>
      <c r="C29" s="9">
        <f>'AT3A_cvrg(Insti)_PY'!L29</f>
        <v>990</v>
      </c>
      <c r="D29" s="9">
        <f t="shared" si="0"/>
        <v>990</v>
      </c>
      <c r="E29" s="9">
        <f>'AT3B_cvrg(Insti)_UPY '!L28+'AT3C_cvrg(Insti)_UPY '!L28</f>
        <v>532</v>
      </c>
      <c r="F29" s="9">
        <f t="shared" si="1"/>
        <v>532</v>
      </c>
    </row>
    <row r="30" spans="1:6" customFormat="1" x14ac:dyDescent="0.2">
      <c r="A30" s="17">
        <v>19</v>
      </c>
      <c r="B30" s="176" t="s">
        <v>914</v>
      </c>
      <c r="C30" s="9">
        <f>'AT3A_cvrg(Insti)_PY'!L30</f>
        <v>1504</v>
      </c>
      <c r="D30" s="9">
        <f t="shared" si="0"/>
        <v>1504</v>
      </c>
      <c r="E30" s="9">
        <f>'AT3B_cvrg(Insti)_UPY '!L29+'AT3C_cvrg(Insti)_UPY '!L29</f>
        <v>810</v>
      </c>
      <c r="F30" s="9">
        <f t="shared" si="1"/>
        <v>810</v>
      </c>
    </row>
    <row r="31" spans="1:6" customFormat="1" x14ac:dyDescent="0.2">
      <c r="A31" s="17">
        <v>20</v>
      </c>
      <c r="B31" s="176" t="s">
        <v>915</v>
      </c>
      <c r="C31" s="9">
        <f>'AT3A_cvrg(Insti)_PY'!L31</f>
        <v>600</v>
      </c>
      <c r="D31" s="9">
        <f t="shared" si="0"/>
        <v>600</v>
      </c>
      <c r="E31" s="9">
        <f>'AT3B_cvrg(Insti)_UPY '!L30+'AT3C_cvrg(Insti)_UPY '!L30</f>
        <v>415</v>
      </c>
      <c r="F31" s="9">
        <f t="shared" si="1"/>
        <v>415</v>
      </c>
    </row>
    <row r="32" spans="1:6" customFormat="1" x14ac:dyDescent="0.2">
      <c r="A32" s="17">
        <v>21</v>
      </c>
      <c r="B32" s="176" t="s">
        <v>916</v>
      </c>
      <c r="C32" s="9">
        <f>'AT3A_cvrg(Insti)_PY'!L32</f>
        <v>758</v>
      </c>
      <c r="D32" s="9">
        <f t="shared" si="0"/>
        <v>758</v>
      </c>
      <c r="E32" s="9">
        <f>'AT3B_cvrg(Insti)_UPY '!L31+'AT3C_cvrg(Insti)_UPY '!L31</f>
        <v>528</v>
      </c>
      <c r="F32" s="9">
        <f t="shared" si="1"/>
        <v>528</v>
      </c>
    </row>
    <row r="33" spans="1:14" customFormat="1" x14ac:dyDescent="0.2">
      <c r="A33" s="17">
        <v>22</v>
      </c>
      <c r="B33" s="176" t="s">
        <v>917</v>
      </c>
      <c r="C33" s="9">
        <f>'AT3A_cvrg(Insti)_PY'!L33</f>
        <v>628</v>
      </c>
      <c r="D33" s="9">
        <f t="shared" si="0"/>
        <v>628</v>
      </c>
      <c r="E33" s="9">
        <f>'AT3B_cvrg(Insti)_UPY '!L32+'AT3C_cvrg(Insti)_UPY '!L32</f>
        <v>383</v>
      </c>
      <c r="F33" s="9">
        <f t="shared" si="1"/>
        <v>383</v>
      </c>
    </row>
    <row r="34" spans="1:14" customFormat="1" x14ac:dyDescent="0.2">
      <c r="A34" s="17">
        <v>23</v>
      </c>
      <c r="B34" s="176" t="s">
        <v>918</v>
      </c>
      <c r="C34" s="9">
        <f>'AT3A_cvrg(Insti)_PY'!L34</f>
        <v>922</v>
      </c>
      <c r="D34" s="9">
        <f t="shared" si="0"/>
        <v>922</v>
      </c>
      <c r="E34" s="9">
        <f>'AT3B_cvrg(Insti)_UPY '!L33+'AT3C_cvrg(Insti)_UPY '!L33</f>
        <v>618</v>
      </c>
      <c r="F34" s="9">
        <f t="shared" si="1"/>
        <v>618</v>
      </c>
    </row>
    <row r="35" spans="1:14" customFormat="1" x14ac:dyDescent="0.2">
      <c r="A35" s="17">
        <v>24</v>
      </c>
      <c r="B35" s="18" t="s">
        <v>919</v>
      </c>
      <c r="C35" s="9">
        <f>'AT3A_cvrg(Insti)_PY'!L35</f>
        <v>1296</v>
      </c>
      <c r="D35" s="9">
        <f t="shared" si="0"/>
        <v>1296</v>
      </c>
      <c r="E35" s="9">
        <f>'AT3B_cvrg(Insti)_UPY '!L34+'AT3C_cvrg(Insti)_UPY '!L34</f>
        <v>649</v>
      </c>
      <c r="F35" s="9">
        <f t="shared" si="1"/>
        <v>649</v>
      </c>
    </row>
    <row r="36" spans="1:14" s="90" customFormat="1" x14ac:dyDescent="0.2">
      <c r="A36" s="1058" t="s">
        <v>18</v>
      </c>
      <c r="B36" s="1058"/>
      <c r="C36" s="419">
        <f>SUM(C12:C35)</f>
        <v>21838</v>
      </c>
      <c r="D36" s="419">
        <f>SUM(D12:D35)</f>
        <v>21838</v>
      </c>
      <c r="E36" s="419">
        <f>SUM(E12:E35)</f>
        <v>13935</v>
      </c>
      <c r="F36" s="419">
        <f>SUM(F12:F35)</f>
        <v>13935</v>
      </c>
      <c r="G36" s="14"/>
      <c r="H36" s="14"/>
      <c r="I36" s="14"/>
      <c r="J36" s="14"/>
      <c r="K36" s="14"/>
      <c r="L36" s="14"/>
      <c r="M36" s="14"/>
      <c r="N36" s="14"/>
    </row>
    <row r="37" spans="1:14" x14ac:dyDescent="0.2">
      <c r="G37"/>
      <c r="H37"/>
      <c r="I37"/>
      <c r="J37"/>
      <c r="K37"/>
      <c r="L37"/>
      <c r="M37"/>
      <c r="N37"/>
    </row>
    <row r="38" spans="1:14" x14ac:dyDescent="0.2">
      <c r="A38" s="14" t="s">
        <v>22</v>
      </c>
      <c r="G38"/>
      <c r="H38"/>
      <c r="I38"/>
      <c r="J38"/>
      <c r="K38"/>
      <c r="L38"/>
      <c r="M38"/>
      <c r="N38"/>
    </row>
    <row r="39" spans="1:14" x14ac:dyDescent="0.2">
      <c r="E39" s="821" t="s">
        <v>12</v>
      </c>
      <c r="F39" s="821"/>
      <c r="G39" s="469"/>
      <c r="H39"/>
      <c r="I39"/>
      <c r="J39"/>
      <c r="K39"/>
      <c r="L39"/>
      <c r="M39"/>
      <c r="N39"/>
    </row>
    <row r="40" spans="1:14" x14ac:dyDescent="0.2">
      <c r="E40" s="821" t="s">
        <v>13</v>
      </c>
      <c r="F40" s="821"/>
      <c r="G40" s="821"/>
      <c r="H40"/>
      <c r="I40"/>
      <c r="J40"/>
      <c r="K40"/>
      <c r="L40"/>
      <c r="M40"/>
      <c r="N40"/>
    </row>
    <row r="41" spans="1:14" x14ac:dyDescent="0.2">
      <c r="E41" s="821" t="s">
        <v>19</v>
      </c>
      <c r="F41" s="821"/>
      <c r="G41" s="821"/>
      <c r="H41"/>
      <c r="I41"/>
      <c r="J41"/>
      <c r="K41"/>
      <c r="L41"/>
      <c r="M41"/>
      <c r="N41"/>
    </row>
    <row r="42" spans="1:14" x14ac:dyDescent="0.2">
      <c r="E42" s="33" t="s">
        <v>23</v>
      </c>
      <c r="F42" s="469"/>
      <c r="G42" s="469"/>
      <c r="H42"/>
      <c r="I42"/>
      <c r="J42"/>
      <c r="K42"/>
      <c r="L42"/>
      <c r="M42"/>
      <c r="N42"/>
    </row>
    <row r="43" spans="1:14" x14ac:dyDescent="0.2">
      <c r="G43"/>
      <c r="H43"/>
      <c r="I43"/>
      <c r="J43"/>
      <c r="K43"/>
      <c r="L43"/>
      <c r="M43"/>
      <c r="N43"/>
    </row>
    <row r="44" spans="1:14" x14ac:dyDescent="0.2">
      <c r="G44"/>
      <c r="H44"/>
      <c r="I44"/>
      <c r="J44"/>
      <c r="K44"/>
      <c r="L44"/>
      <c r="M44"/>
      <c r="N44"/>
    </row>
    <row r="45" spans="1:14" x14ac:dyDescent="0.2">
      <c r="G45"/>
      <c r="H45"/>
      <c r="I45"/>
      <c r="J45"/>
      <c r="K45"/>
      <c r="L45"/>
      <c r="M45"/>
      <c r="N45"/>
    </row>
    <row r="46" spans="1:14" x14ac:dyDescent="0.2">
      <c r="G46"/>
      <c r="H46"/>
      <c r="I46"/>
      <c r="J46"/>
      <c r="K46"/>
      <c r="L46"/>
      <c r="M46"/>
      <c r="N46"/>
    </row>
    <row r="47" spans="1:14" x14ac:dyDescent="0.2">
      <c r="G47"/>
      <c r="H47"/>
      <c r="I47"/>
      <c r="J47"/>
      <c r="K47"/>
      <c r="L47"/>
      <c r="M47"/>
      <c r="N47"/>
    </row>
    <row r="48" spans="1:14" x14ac:dyDescent="0.2">
      <c r="G48"/>
      <c r="H48"/>
      <c r="I48"/>
      <c r="J48"/>
      <c r="K48"/>
      <c r="L48"/>
      <c r="M48"/>
      <c r="N48"/>
    </row>
    <row r="49" spans="7:14" x14ac:dyDescent="0.2">
      <c r="G49"/>
      <c r="H49"/>
      <c r="I49"/>
      <c r="J49"/>
      <c r="K49"/>
      <c r="L49"/>
      <c r="M49"/>
      <c r="N49"/>
    </row>
    <row r="50" spans="7:14" x14ac:dyDescent="0.2">
      <c r="G50"/>
      <c r="H50"/>
      <c r="I50"/>
      <c r="J50"/>
      <c r="K50"/>
      <c r="L50"/>
      <c r="M50"/>
      <c r="N50"/>
    </row>
    <row r="51" spans="7:14" x14ac:dyDescent="0.2">
      <c r="G51"/>
      <c r="H51"/>
      <c r="I51"/>
      <c r="J51"/>
      <c r="K51"/>
      <c r="L51"/>
      <c r="M51"/>
      <c r="N51"/>
    </row>
    <row r="52" spans="7:14" x14ac:dyDescent="0.2">
      <c r="G52"/>
      <c r="H52"/>
      <c r="I52"/>
      <c r="J52"/>
      <c r="K52"/>
      <c r="L52"/>
      <c r="M52"/>
      <c r="N52"/>
    </row>
    <row r="53" spans="7:14" x14ac:dyDescent="0.2">
      <c r="G53"/>
      <c r="H53"/>
      <c r="I53"/>
      <c r="J53"/>
      <c r="K53"/>
      <c r="L53"/>
      <c r="M53"/>
      <c r="N53"/>
    </row>
  </sheetData>
  <mergeCells count="12">
    <mergeCell ref="E39:F39"/>
    <mergeCell ref="E40:G40"/>
    <mergeCell ref="E41:G41"/>
    <mergeCell ref="A36:B36"/>
    <mergeCell ref="A7:B7"/>
    <mergeCell ref="B3:F3"/>
    <mergeCell ref="B2:F2"/>
    <mergeCell ref="A5:F5"/>
    <mergeCell ref="C9:D9"/>
    <mergeCell ref="E9:F9"/>
    <mergeCell ref="A9:A10"/>
    <mergeCell ref="B9:B10"/>
  </mergeCells>
  <phoneticPr fontId="0" type="noConversion"/>
  <printOptions horizontalCentered="1"/>
  <pageMargins left="0.70866141732283472" right="0.32" top="0.23622047244094491" bottom="0" header="0.14000000000000001" footer="0.15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M45"/>
  <sheetViews>
    <sheetView topLeftCell="A10" zoomScale="85" zoomScaleNormal="85" zoomScaleSheetLayoutView="100" workbookViewId="0">
      <selection activeCell="C29" sqref="C29"/>
    </sheetView>
  </sheetViews>
  <sheetFormatPr defaultRowHeight="12.75" x14ac:dyDescent="0.2"/>
  <cols>
    <col min="1" max="1" width="8" customWidth="1"/>
    <col min="2" max="2" width="18.85546875" bestFit="1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4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81"/>
      <c r="B1" s="81"/>
      <c r="C1" s="81"/>
      <c r="D1" s="978"/>
      <c r="E1" s="978"/>
      <c r="F1" s="38"/>
      <c r="G1" s="978" t="s">
        <v>442</v>
      </c>
      <c r="H1" s="978"/>
      <c r="I1" s="978"/>
      <c r="J1" s="978"/>
      <c r="K1" s="91"/>
      <c r="L1" s="81"/>
      <c r="M1" s="81"/>
    </row>
    <row r="2" spans="1:13" ht="15.75" x14ac:dyDescent="0.25">
      <c r="A2" s="1055" t="s">
        <v>0</v>
      </c>
      <c r="B2" s="1055"/>
      <c r="C2" s="1055"/>
      <c r="D2" s="1055"/>
      <c r="E2" s="1055"/>
      <c r="F2" s="1055"/>
      <c r="G2" s="1055"/>
      <c r="H2" s="1055"/>
      <c r="I2" s="1055"/>
      <c r="J2" s="1055"/>
      <c r="K2" s="81"/>
      <c r="L2" s="81"/>
      <c r="M2" s="81"/>
    </row>
    <row r="3" spans="1:13" ht="18" x14ac:dyDescent="0.25">
      <c r="A3" s="113"/>
      <c r="B3" s="113"/>
      <c r="C3" s="1066" t="s">
        <v>740</v>
      </c>
      <c r="D3" s="1066"/>
      <c r="E3" s="1066"/>
      <c r="F3" s="1066"/>
      <c r="G3" s="1066"/>
      <c r="H3" s="1066"/>
      <c r="I3" s="1066"/>
      <c r="J3" s="113"/>
      <c r="K3" s="81"/>
      <c r="L3" s="81"/>
      <c r="M3" s="81"/>
    </row>
    <row r="4" spans="1:13" ht="15.75" x14ac:dyDescent="0.25">
      <c r="A4" s="873" t="s">
        <v>441</v>
      </c>
      <c r="B4" s="873"/>
      <c r="C4" s="873"/>
      <c r="D4" s="873"/>
      <c r="E4" s="873"/>
      <c r="F4" s="873"/>
      <c r="G4" s="873"/>
      <c r="H4" s="873"/>
      <c r="I4" s="873"/>
      <c r="J4" s="873"/>
      <c r="K4" s="81"/>
      <c r="L4" s="81"/>
      <c r="M4" s="81"/>
    </row>
    <row r="5" spans="1:13" ht="15.75" x14ac:dyDescent="0.25">
      <c r="A5" s="1065" t="s">
        <v>920</v>
      </c>
      <c r="B5" s="1065"/>
      <c r="C5" s="83"/>
      <c r="D5" s="83"/>
      <c r="E5" s="83"/>
      <c r="F5" s="83"/>
      <c r="G5" s="83"/>
      <c r="H5" s="83"/>
      <c r="I5" s="83"/>
      <c r="J5" s="83"/>
      <c r="K5" s="81"/>
      <c r="L5" s="81"/>
      <c r="M5" s="81"/>
    </row>
    <row r="6" spans="1:13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8" x14ac:dyDescent="0.25">
      <c r="A7" s="84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21.75" customHeight="1" x14ac:dyDescent="0.2">
      <c r="A8" s="1060" t="s">
        <v>2</v>
      </c>
      <c r="B8" s="1060" t="s">
        <v>3</v>
      </c>
      <c r="C8" s="1062" t="s">
        <v>135</v>
      </c>
      <c r="D8" s="1063"/>
      <c r="E8" s="1063"/>
      <c r="F8" s="1063"/>
      <c r="G8" s="1063"/>
      <c r="H8" s="1063"/>
      <c r="I8" s="1063"/>
      <c r="J8" s="1064"/>
      <c r="K8" s="81"/>
      <c r="L8" s="81"/>
      <c r="M8" s="81"/>
    </row>
    <row r="9" spans="1:13" ht="39.75" customHeight="1" x14ac:dyDescent="0.2">
      <c r="A9" s="1061"/>
      <c r="B9" s="1061"/>
      <c r="C9" s="85" t="s">
        <v>193</v>
      </c>
      <c r="D9" s="85" t="s">
        <v>119</v>
      </c>
      <c r="E9" s="85" t="s">
        <v>382</v>
      </c>
      <c r="F9" s="120" t="s">
        <v>162</v>
      </c>
      <c r="G9" s="120" t="s">
        <v>120</v>
      </c>
      <c r="H9" s="135" t="s">
        <v>192</v>
      </c>
      <c r="I9" s="135" t="s">
        <v>709</v>
      </c>
      <c r="J9" s="86" t="s">
        <v>18</v>
      </c>
      <c r="K9" s="90"/>
      <c r="L9" s="90"/>
      <c r="M9" s="90"/>
    </row>
    <row r="10" spans="1:13" s="14" customFormat="1" x14ac:dyDescent="0.2">
      <c r="A10" s="243">
        <v>1</v>
      </c>
      <c r="B10" s="243">
        <v>2</v>
      </c>
      <c r="C10" s="243">
        <v>3</v>
      </c>
      <c r="D10" s="243">
        <v>4</v>
      </c>
      <c r="E10" s="243">
        <v>5</v>
      </c>
      <c r="F10" s="243">
        <v>6</v>
      </c>
      <c r="G10" s="243">
        <v>7</v>
      </c>
      <c r="H10" s="244">
        <v>8</v>
      </c>
      <c r="I10" s="244">
        <v>9</v>
      </c>
      <c r="J10" s="245">
        <v>10</v>
      </c>
      <c r="K10" s="90"/>
      <c r="L10" s="90"/>
      <c r="M10" s="90"/>
    </row>
    <row r="11" spans="1:13" ht="15" x14ac:dyDescent="0.2">
      <c r="A11" s="272">
        <v>1</v>
      </c>
      <c r="B11" s="273" t="s">
        <v>896</v>
      </c>
      <c r="C11" s="9"/>
      <c r="D11" s="9"/>
      <c r="E11" s="9">
        <f>'AT18_Details_Community '!D12+'AT18_Details_Community '!E12</f>
        <v>2177</v>
      </c>
      <c r="F11" s="9"/>
      <c r="G11" s="9"/>
      <c r="H11" s="9"/>
      <c r="I11" s="9"/>
      <c r="J11" s="9">
        <f>E11+G11</f>
        <v>2177</v>
      </c>
    </row>
    <row r="12" spans="1:13" ht="15" x14ac:dyDescent="0.2">
      <c r="A12" s="272">
        <v>2</v>
      </c>
      <c r="B12" s="273" t="s">
        <v>897</v>
      </c>
      <c r="C12" s="9"/>
      <c r="D12" s="9"/>
      <c r="E12" s="9">
        <f>'AT18_Details_Community '!D13+'AT18_Details_Community '!E13</f>
        <v>868</v>
      </c>
      <c r="F12" s="9"/>
      <c r="G12" s="9"/>
      <c r="H12" s="9"/>
      <c r="I12" s="9"/>
      <c r="J12" s="9">
        <f t="shared" ref="J12:J34" si="0">E12+G12</f>
        <v>868</v>
      </c>
    </row>
    <row r="13" spans="1:13" ht="15" x14ac:dyDescent="0.2">
      <c r="A13" s="272">
        <v>3</v>
      </c>
      <c r="B13" s="273" t="s">
        <v>898</v>
      </c>
      <c r="C13" s="9"/>
      <c r="D13" s="9"/>
      <c r="E13" s="9">
        <f>'AT18_Details_Community '!D14+'AT18_Details_Community '!E14</f>
        <v>491</v>
      </c>
      <c r="F13" s="9"/>
      <c r="G13" s="9"/>
      <c r="H13" s="9"/>
      <c r="I13" s="9"/>
      <c r="J13" s="9">
        <f t="shared" si="0"/>
        <v>491</v>
      </c>
    </row>
    <row r="14" spans="1:13" ht="15" x14ac:dyDescent="0.2">
      <c r="A14" s="272">
        <v>4</v>
      </c>
      <c r="B14" s="273" t="s">
        <v>899</v>
      </c>
      <c r="C14" s="9"/>
      <c r="D14" s="9"/>
      <c r="E14" s="9">
        <f>'AT18_Details_Community '!D15+'AT18_Details_Community '!E15</f>
        <v>1519</v>
      </c>
      <c r="F14" s="9"/>
      <c r="G14" s="9"/>
      <c r="H14" s="9"/>
      <c r="I14" s="9"/>
      <c r="J14" s="9">
        <f t="shared" si="0"/>
        <v>1519</v>
      </c>
    </row>
    <row r="15" spans="1:13" ht="15" x14ac:dyDescent="0.2">
      <c r="A15" s="272">
        <v>5</v>
      </c>
      <c r="B15" s="273" t="s">
        <v>900</v>
      </c>
      <c r="C15" s="9"/>
      <c r="D15" s="9"/>
      <c r="E15" s="9">
        <f>'AT18_Details_Community '!D16+'AT18_Details_Community '!E16</f>
        <v>968</v>
      </c>
      <c r="F15" s="9"/>
      <c r="G15" s="9"/>
      <c r="H15" s="9"/>
      <c r="I15" s="9"/>
      <c r="J15" s="9">
        <f t="shared" si="0"/>
        <v>968</v>
      </c>
    </row>
    <row r="16" spans="1:13" ht="15" x14ac:dyDescent="0.2">
      <c r="A16" s="272">
        <v>6</v>
      </c>
      <c r="B16" s="273" t="s">
        <v>901</v>
      </c>
      <c r="C16" s="9"/>
      <c r="D16" s="9"/>
      <c r="E16" s="9">
        <f>1620-297</f>
        <v>1323</v>
      </c>
      <c r="F16" s="9"/>
      <c r="G16" s="88">
        <v>297</v>
      </c>
      <c r="H16" s="9"/>
      <c r="I16" s="9"/>
      <c r="J16" s="9">
        <f t="shared" si="0"/>
        <v>1620</v>
      </c>
    </row>
    <row r="17" spans="1:10" ht="15" x14ac:dyDescent="0.2">
      <c r="A17" s="272">
        <v>7</v>
      </c>
      <c r="B17" s="273" t="s">
        <v>902</v>
      </c>
      <c r="C17" s="9"/>
      <c r="D17" s="9"/>
      <c r="E17" s="9">
        <f>1381-79</f>
        <v>1302</v>
      </c>
      <c r="F17" s="9"/>
      <c r="G17" s="88">
        <v>79</v>
      </c>
      <c r="H17" s="9"/>
      <c r="I17" s="9"/>
      <c r="J17" s="9">
        <f t="shared" si="0"/>
        <v>1381</v>
      </c>
    </row>
    <row r="18" spans="1:10" ht="15" x14ac:dyDescent="0.2">
      <c r="A18" s="272">
        <v>8</v>
      </c>
      <c r="B18" s="273" t="s">
        <v>903</v>
      </c>
      <c r="C18" s="9"/>
      <c r="D18" s="9"/>
      <c r="E18" s="9">
        <f>'AT18_Details_Community '!D19+'AT18_Details_Community '!E19</f>
        <v>2066</v>
      </c>
      <c r="F18" s="9"/>
      <c r="G18" s="9"/>
      <c r="H18" s="9"/>
      <c r="I18" s="9"/>
      <c r="J18" s="9">
        <f t="shared" si="0"/>
        <v>2066</v>
      </c>
    </row>
    <row r="19" spans="1:10" ht="15" x14ac:dyDescent="0.2">
      <c r="A19" s="272">
        <v>9</v>
      </c>
      <c r="B19" s="273" t="s">
        <v>904</v>
      </c>
      <c r="C19" s="9"/>
      <c r="D19" s="9"/>
      <c r="E19" s="9">
        <f>'AT18_Details_Community '!D20+'AT18_Details_Community '!E20</f>
        <v>2499</v>
      </c>
      <c r="F19" s="9"/>
      <c r="G19" s="9"/>
      <c r="H19" s="9"/>
      <c r="I19" s="9"/>
      <c r="J19" s="9">
        <f t="shared" si="0"/>
        <v>2499</v>
      </c>
    </row>
    <row r="20" spans="1:10" ht="15" x14ac:dyDescent="0.2">
      <c r="A20" s="272">
        <v>10</v>
      </c>
      <c r="B20" s="273" t="s">
        <v>905</v>
      </c>
      <c r="C20" s="9"/>
      <c r="D20" s="9"/>
      <c r="E20" s="9">
        <f>'AT18_Details_Community '!D21+'AT18_Details_Community '!E21</f>
        <v>1037</v>
      </c>
      <c r="F20" s="9"/>
      <c r="G20" s="9"/>
      <c r="H20" s="9"/>
      <c r="I20" s="9"/>
      <c r="J20" s="9">
        <f t="shared" si="0"/>
        <v>1037</v>
      </c>
    </row>
    <row r="21" spans="1:10" ht="15" x14ac:dyDescent="0.2">
      <c r="A21" s="272">
        <v>11</v>
      </c>
      <c r="B21" s="273" t="s">
        <v>906</v>
      </c>
      <c r="C21" s="9"/>
      <c r="D21" s="9"/>
      <c r="E21" s="9">
        <f>'AT18_Details_Community '!D22+'AT18_Details_Community '!E22</f>
        <v>1420</v>
      </c>
      <c r="F21" s="9"/>
      <c r="G21" s="9"/>
      <c r="H21" s="9"/>
      <c r="I21" s="9"/>
      <c r="J21" s="9">
        <f t="shared" si="0"/>
        <v>1420</v>
      </c>
    </row>
    <row r="22" spans="1:10" ht="15" x14ac:dyDescent="0.2">
      <c r="A22" s="272">
        <v>12</v>
      </c>
      <c r="B22" s="273" t="s">
        <v>907</v>
      </c>
      <c r="C22" s="9"/>
      <c r="D22" s="9"/>
      <c r="E22" s="9">
        <f>'AT18_Details_Community '!D23+'AT18_Details_Community '!E23</f>
        <v>1479</v>
      </c>
      <c r="F22" s="9"/>
      <c r="G22" s="9"/>
      <c r="H22" s="9"/>
      <c r="I22" s="9"/>
      <c r="J22" s="9">
        <f t="shared" si="0"/>
        <v>1479</v>
      </c>
    </row>
    <row r="23" spans="1:10" ht="15" x14ac:dyDescent="0.2">
      <c r="A23" s="272">
        <v>13</v>
      </c>
      <c r="B23" s="273" t="s">
        <v>908</v>
      </c>
      <c r="C23" s="9"/>
      <c r="D23" s="9"/>
      <c r="E23" s="9">
        <f>'AT18_Details_Community '!D24+'AT18_Details_Community '!E24</f>
        <v>587</v>
      </c>
      <c r="F23" s="9"/>
      <c r="G23" s="9"/>
      <c r="H23" s="9"/>
      <c r="I23" s="9"/>
      <c r="J23" s="9">
        <f t="shared" si="0"/>
        <v>587</v>
      </c>
    </row>
    <row r="24" spans="1:10" ht="15" x14ac:dyDescent="0.2">
      <c r="A24" s="272">
        <v>14</v>
      </c>
      <c r="B24" s="273" t="s">
        <v>909</v>
      </c>
      <c r="C24" s="9"/>
      <c r="D24" s="9"/>
      <c r="E24" s="9">
        <f>'AT18_Details_Community '!D25+'AT18_Details_Community '!E25</f>
        <v>659</v>
      </c>
      <c r="F24" s="9"/>
      <c r="G24" s="9"/>
      <c r="H24" s="9"/>
      <c r="I24" s="9"/>
      <c r="J24" s="9">
        <f t="shared" si="0"/>
        <v>659</v>
      </c>
    </row>
    <row r="25" spans="1:10" ht="15" x14ac:dyDescent="0.2">
      <c r="A25" s="272">
        <v>15</v>
      </c>
      <c r="B25" s="273" t="s">
        <v>910</v>
      </c>
      <c r="C25" s="9"/>
      <c r="D25" s="9"/>
      <c r="E25" s="9">
        <f>'AT18_Details_Community '!D26+'AT18_Details_Community '!E26</f>
        <v>1539</v>
      </c>
      <c r="F25" s="9"/>
      <c r="G25" s="9"/>
      <c r="H25" s="9"/>
      <c r="I25" s="9"/>
      <c r="J25" s="9">
        <f t="shared" si="0"/>
        <v>1539</v>
      </c>
    </row>
    <row r="26" spans="1:10" ht="15" x14ac:dyDescent="0.2">
      <c r="A26" s="272">
        <v>16</v>
      </c>
      <c r="B26" s="273" t="s">
        <v>911</v>
      </c>
      <c r="C26" s="9"/>
      <c r="D26" s="9"/>
      <c r="E26" s="9">
        <f>'AT18_Details_Community '!D27+'AT18_Details_Community '!E27</f>
        <v>3136</v>
      </c>
      <c r="F26" s="9"/>
      <c r="G26" s="9"/>
      <c r="H26" s="9"/>
      <c r="I26" s="9"/>
      <c r="J26" s="9">
        <f t="shared" si="0"/>
        <v>3136</v>
      </c>
    </row>
    <row r="27" spans="1:10" ht="16.5" customHeight="1" x14ac:dyDescent="0.2">
      <c r="A27" s="272">
        <v>17</v>
      </c>
      <c r="B27" s="273" t="s">
        <v>912</v>
      </c>
      <c r="C27" s="9"/>
      <c r="D27" s="9"/>
      <c r="E27" s="9">
        <f>'AT18_Details_Community '!D28+'AT18_Details_Community '!E28</f>
        <v>1694</v>
      </c>
      <c r="F27" s="9"/>
      <c r="G27" s="9"/>
      <c r="H27" s="9"/>
      <c r="I27" s="9"/>
      <c r="J27" s="9">
        <f t="shared" si="0"/>
        <v>1694</v>
      </c>
    </row>
    <row r="28" spans="1:10" ht="15" x14ac:dyDescent="0.2">
      <c r="A28" s="272">
        <v>18</v>
      </c>
      <c r="B28" s="273" t="s">
        <v>913</v>
      </c>
      <c r="C28" s="9"/>
      <c r="D28" s="9"/>
      <c r="E28" s="9">
        <f>'AT18_Details_Community '!D29+'AT18_Details_Community '!E29</f>
        <v>1522</v>
      </c>
      <c r="F28" s="9"/>
      <c r="G28" s="9"/>
      <c r="H28" s="9"/>
      <c r="I28" s="9"/>
      <c r="J28" s="9">
        <f t="shared" si="0"/>
        <v>1522</v>
      </c>
    </row>
    <row r="29" spans="1:10" ht="15" x14ac:dyDescent="0.2">
      <c r="A29" s="272">
        <v>19</v>
      </c>
      <c r="B29" s="273" t="s">
        <v>914</v>
      </c>
      <c r="C29" s="9"/>
      <c r="D29" s="9"/>
      <c r="E29" s="9">
        <f>'AT18_Details_Community '!D30+'AT18_Details_Community '!E30</f>
        <v>2314</v>
      </c>
      <c r="F29" s="9"/>
      <c r="G29" s="9"/>
      <c r="H29" s="9"/>
      <c r="I29" s="9"/>
      <c r="J29" s="9">
        <f t="shared" si="0"/>
        <v>2314</v>
      </c>
    </row>
    <row r="30" spans="1:10" ht="15" x14ac:dyDescent="0.2">
      <c r="A30" s="272">
        <v>20</v>
      </c>
      <c r="B30" s="273" t="s">
        <v>915</v>
      </c>
      <c r="C30" s="9"/>
      <c r="D30" s="9"/>
      <c r="E30" s="9">
        <f>'AT18_Details_Community '!D31+'AT18_Details_Community '!E31</f>
        <v>1015</v>
      </c>
      <c r="F30" s="9"/>
      <c r="G30" s="9"/>
      <c r="H30" s="9"/>
      <c r="I30" s="9"/>
      <c r="J30" s="9">
        <f t="shared" si="0"/>
        <v>1015</v>
      </c>
    </row>
    <row r="31" spans="1:10" ht="15" x14ac:dyDescent="0.2">
      <c r="A31" s="272">
        <v>21</v>
      </c>
      <c r="B31" s="273" t="s">
        <v>916</v>
      </c>
      <c r="C31" s="9"/>
      <c r="D31" s="9"/>
      <c r="E31" s="9">
        <f>'AT18_Details_Community '!D32+'AT18_Details_Community '!E32</f>
        <v>1286</v>
      </c>
      <c r="F31" s="9"/>
      <c r="G31" s="9"/>
      <c r="H31" s="9"/>
      <c r="I31" s="9"/>
      <c r="J31" s="9">
        <f t="shared" si="0"/>
        <v>1286</v>
      </c>
    </row>
    <row r="32" spans="1:10" ht="15" x14ac:dyDescent="0.2">
      <c r="A32" s="272">
        <v>22</v>
      </c>
      <c r="B32" s="273" t="s">
        <v>917</v>
      </c>
      <c r="C32" s="9"/>
      <c r="D32" s="9"/>
      <c r="E32" s="9">
        <f>'AT18_Details_Community '!D33+'AT18_Details_Community '!E33</f>
        <v>1011</v>
      </c>
      <c r="F32" s="9"/>
      <c r="G32" s="9"/>
      <c r="H32" s="9"/>
      <c r="I32" s="9"/>
      <c r="J32" s="9">
        <f t="shared" si="0"/>
        <v>1011</v>
      </c>
    </row>
    <row r="33" spans="1:13" ht="15" x14ac:dyDescent="0.2">
      <c r="A33" s="272">
        <v>23</v>
      </c>
      <c r="B33" s="273" t="s">
        <v>918</v>
      </c>
      <c r="C33" s="9"/>
      <c r="D33" s="9"/>
      <c r="E33" s="9">
        <f>'AT18_Details_Community '!D34+'AT18_Details_Community '!E34</f>
        <v>1540</v>
      </c>
      <c r="F33" s="9"/>
      <c r="G33" s="9"/>
      <c r="H33" s="9"/>
      <c r="I33" s="9"/>
      <c r="J33" s="9">
        <f t="shared" si="0"/>
        <v>1540</v>
      </c>
    </row>
    <row r="34" spans="1:13" x14ac:dyDescent="0.2">
      <c r="A34" s="17">
        <v>24</v>
      </c>
      <c r="B34" s="18" t="s">
        <v>919</v>
      </c>
      <c r="C34" s="9"/>
      <c r="D34" s="9"/>
      <c r="E34" s="9">
        <f>'AT18_Details_Community '!D35+'AT18_Details_Community '!E35</f>
        <v>1945</v>
      </c>
      <c r="F34" s="9"/>
      <c r="G34" s="9"/>
      <c r="H34" s="9"/>
      <c r="I34" s="9"/>
      <c r="J34" s="9">
        <f t="shared" si="0"/>
        <v>1945</v>
      </c>
    </row>
    <row r="35" spans="1:13" s="14" customFormat="1" ht="15.75" customHeight="1" x14ac:dyDescent="0.2">
      <c r="A35" s="802" t="s">
        <v>18</v>
      </c>
      <c r="B35" s="802"/>
      <c r="C35" s="27"/>
      <c r="D35" s="27"/>
      <c r="E35" s="27">
        <f>SUM(E11:E34)</f>
        <v>35397</v>
      </c>
      <c r="F35" s="27"/>
      <c r="G35" s="27">
        <f>SUM(G16:G34)</f>
        <v>376</v>
      </c>
      <c r="H35" s="27"/>
      <c r="I35" s="27"/>
      <c r="J35" s="27">
        <f>SUM(J11:J34)</f>
        <v>35773</v>
      </c>
    </row>
    <row r="36" spans="1:13" x14ac:dyDescent="0.2">
      <c r="A36" s="267"/>
      <c r="B36" s="20"/>
      <c r="C36" s="12"/>
      <c r="D36" s="12"/>
      <c r="E36" s="12"/>
      <c r="F36" s="12"/>
      <c r="G36" s="12"/>
      <c r="H36" s="12"/>
      <c r="I36" s="12"/>
      <c r="J36" s="12"/>
    </row>
    <row r="37" spans="1:13" x14ac:dyDescent="0.2">
      <c r="A37" s="267"/>
      <c r="B37" s="20"/>
      <c r="C37" s="12"/>
      <c r="D37" s="12"/>
      <c r="E37" s="12"/>
      <c r="F37" s="12"/>
      <c r="G37" s="12"/>
      <c r="H37" s="12"/>
      <c r="I37" s="12"/>
      <c r="J37" s="12"/>
    </row>
    <row r="38" spans="1:13" x14ac:dyDescent="0.2">
      <c r="A38" s="267"/>
      <c r="B38" s="20"/>
      <c r="C38" s="12"/>
      <c r="D38" s="12"/>
      <c r="E38" s="12"/>
      <c r="F38" s="12"/>
      <c r="G38" s="12"/>
      <c r="H38" s="12"/>
      <c r="I38" s="12"/>
      <c r="J38" s="12"/>
    </row>
    <row r="39" spans="1:13" x14ac:dyDescent="0.2">
      <c r="A39" s="121" t="s">
        <v>163</v>
      </c>
      <c r="B39" s="121"/>
      <c r="C39" s="121"/>
      <c r="D39" s="121"/>
      <c r="E39" s="81"/>
      <c r="F39" s="81"/>
      <c r="G39" s="81"/>
      <c r="H39" s="81"/>
      <c r="I39" s="81"/>
      <c r="J39" s="81"/>
      <c r="K39" s="81"/>
      <c r="L39" s="81"/>
      <c r="M39" s="81"/>
    </row>
    <row r="40" spans="1:13" x14ac:dyDescent="0.2">
      <c r="A40" s="121"/>
      <c r="B40" s="121"/>
      <c r="C40" s="121"/>
      <c r="D40" s="12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5.75" x14ac:dyDescent="0.25">
      <c r="A41" s="89" t="s">
        <v>11</v>
      </c>
      <c r="B41" s="89"/>
      <c r="C41" s="89"/>
      <c r="D41" s="89"/>
      <c r="E41" s="89"/>
      <c r="F41" s="89"/>
      <c r="G41" s="89"/>
      <c r="H41" s="89"/>
      <c r="I41" s="89"/>
      <c r="J41" s="122" t="s">
        <v>12</v>
      </c>
      <c r="K41" s="122"/>
      <c r="L41" s="81"/>
      <c r="M41" s="81"/>
    </row>
    <row r="42" spans="1:13" ht="15.75" x14ac:dyDescent="0.2">
      <c r="A42" s="898" t="s">
        <v>13</v>
      </c>
      <c r="B42" s="898"/>
      <c r="C42" s="898"/>
      <c r="D42" s="898"/>
      <c r="E42" s="898"/>
      <c r="F42" s="898"/>
      <c r="G42" s="898"/>
      <c r="H42" s="898"/>
      <c r="I42" s="898"/>
      <c r="J42" s="898"/>
      <c r="K42" s="81"/>
      <c r="L42" s="81"/>
      <c r="M42" s="81"/>
    </row>
    <row r="43" spans="1:13" ht="15.75" customHeight="1" x14ac:dyDescent="0.2">
      <c r="A43" s="898" t="s">
        <v>14</v>
      </c>
      <c r="B43" s="898"/>
      <c r="C43" s="898"/>
      <c r="D43" s="898"/>
      <c r="E43" s="898"/>
      <c r="F43" s="898"/>
      <c r="G43" s="898"/>
      <c r="H43" s="898"/>
      <c r="I43" s="898"/>
      <c r="J43" s="898"/>
      <c r="K43" s="122"/>
      <c r="L43" s="81"/>
      <c r="M43" s="81"/>
    </row>
    <row r="44" spans="1:13" x14ac:dyDescent="0.2">
      <c r="A44" s="81"/>
      <c r="B44" s="81"/>
      <c r="C44" s="81"/>
      <c r="D44" s="81"/>
      <c r="E44" s="81"/>
      <c r="F44" s="81"/>
      <c r="G44" s="853" t="s">
        <v>84</v>
      </c>
      <c r="H44" s="853"/>
      <c r="I44" s="853"/>
      <c r="J44" s="853"/>
      <c r="K44" s="33"/>
      <c r="L44" s="33"/>
      <c r="M44" s="81"/>
    </row>
    <row r="45" spans="1:13" x14ac:dyDescent="0.2">
      <c r="A45" s="1059"/>
      <c r="B45" s="1059"/>
      <c r="C45" s="1059"/>
      <c r="D45" s="1059"/>
      <c r="E45" s="1059"/>
      <c r="F45" s="1059"/>
      <c r="G45" s="1059"/>
      <c r="H45" s="1059"/>
      <c r="I45" s="1059"/>
      <c r="J45" s="1059"/>
      <c r="K45" s="81"/>
      <c r="L45" s="81"/>
      <c r="M45" s="81"/>
    </row>
  </sheetData>
  <mergeCells count="14">
    <mergeCell ref="A5:B5"/>
    <mergeCell ref="C3:I3"/>
    <mergeCell ref="D1:E1"/>
    <mergeCell ref="G1:J1"/>
    <mergeCell ref="A2:J2"/>
    <mergeCell ref="A4:J4"/>
    <mergeCell ref="G44:J44"/>
    <mergeCell ref="A45:J45"/>
    <mergeCell ref="A42:J42"/>
    <mergeCell ref="A43:J43"/>
    <mergeCell ref="A8:A9"/>
    <mergeCell ref="B8:B9"/>
    <mergeCell ref="C8:J8"/>
    <mergeCell ref="A35:B35"/>
  </mergeCells>
  <phoneticPr fontId="0" type="noConversion"/>
  <printOptions horizontalCentered="1"/>
  <pageMargins left="0.70866141732283472" right="0.16" top="0.23622047244094491" bottom="0" header="0.21" footer="0.31496062992125984"/>
  <pageSetup paperSize="9" scale="83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Z42"/>
  <sheetViews>
    <sheetView zoomScale="80" zoomScaleNormal="80" zoomScaleSheetLayoutView="76" workbookViewId="0">
      <selection activeCell="C29" sqref="C29"/>
    </sheetView>
  </sheetViews>
  <sheetFormatPr defaultRowHeight="12.75" x14ac:dyDescent="0.2"/>
  <cols>
    <col min="1" max="1" width="6.140625" customWidth="1"/>
    <col min="2" max="2" width="19.7109375" customWidth="1"/>
    <col min="3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978" t="s">
        <v>540</v>
      </c>
      <c r="M1" s="978"/>
      <c r="N1" s="91"/>
      <c r="O1" s="81"/>
      <c r="P1" s="81"/>
    </row>
    <row r="2" spans="1:26" ht="15.75" x14ac:dyDescent="0.25">
      <c r="A2" s="1055" t="s">
        <v>0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81"/>
      <c r="O2" s="81"/>
      <c r="P2" s="81"/>
    </row>
    <row r="3" spans="1:26" ht="20.25" x14ac:dyDescent="0.3">
      <c r="A3" s="872" t="s">
        <v>740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1"/>
      <c r="O3" s="81"/>
      <c r="P3" s="81"/>
    </row>
    <row r="4" spans="1:26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26" ht="15.75" x14ac:dyDescent="0.25">
      <c r="A5" s="873" t="s">
        <v>539</v>
      </c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1"/>
      <c r="O5" s="81"/>
      <c r="P5" s="81"/>
    </row>
    <row r="6" spans="1:26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26" ht="15.75" x14ac:dyDescent="0.25">
      <c r="A7" s="986" t="s">
        <v>920</v>
      </c>
      <c r="B7" s="986"/>
      <c r="C7" s="29"/>
      <c r="D7" s="29"/>
      <c r="E7" s="2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26" ht="18" x14ac:dyDescent="0.25">
      <c r="A8" s="84"/>
      <c r="B8" s="84"/>
      <c r="C8" s="84"/>
      <c r="D8" s="84"/>
      <c r="E8" s="84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26" ht="19.899999999999999" customHeight="1" x14ac:dyDescent="0.2">
      <c r="A9" s="1053" t="s">
        <v>2</v>
      </c>
      <c r="B9" s="1053" t="s">
        <v>3</v>
      </c>
      <c r="C9" s="1068" t="s">
        <v>119</v>
      </c>
      <c r="D9" s="1068"/>
      <c r="E9" s="1069"/>
      <c r="F9" s="1067" t="s">
        <v>120</v>
      </c>
      <c r="G9" s="1068"/>
      <c r="H9" s="1068"/>
      <c r="I9" s="1069"/>
      <c r="J9" s="1067" t="s">
        <v>192</v>
      </c>
      <c r="K9" s="1068"/>
      <c r="L9" s="1068"/>
      <c r="M9" s="1069"/>
      <c r="Y9" s="9"/>
      <c r="Z9" s="12"/>
    </row>
    <row r="10" spans="1:26" ht="45.75" customHeight="1" x14ac:dyDescent="0.2">
      <c r="A10" s="1053"/>
      <c r="B10" s="1053"/>
      <c r="C10" s="124" t="s">
        <v>384</v>
      </c>
      <c r="D10" s="4" t="s">
        <v>381</v>
      </c>
      <c r="E10" s="124" t="s">
        <v>194</v>
      </c>
      <c r="F10" s="4" t="s">
        <v>379</v>
      </c>
      <c r="G10" s="124" t="s">
        <v>380</v>
      </c>
      <c r="H10" s="4" t="s">
        <v>381</v>
      </c>
      <c r="I10" s="124" t="s">
        <v>194</v>
      </c>
      <c r="J10" s="4" t="s">
        <v>383</v>
      </c>
      <c r="K10" s="124" t="s">
        <v>380</v>
      </c>
      <c r="L10" s="4" t="s">
        <v>381</v>
      </c>
      <c r="M10" s="5" t="s">
        <v>194</v>
      </c>
    </row>
    <row r="11" spans="1:26" s="14" customFormat="1" x14ac:dyDescent="0.2">
      <c r="A11" s="243">
        <v>1</v>
      </c>
      <c r="B11" s="243">
        <v>2</v>
      </c>
      <c r="C11" s="243">
        <v>3</v>
      </c>
      <c r="D11" s="243">
        <v>4</v>
      </c>
      <c r="E11" s="243">
        <v>5</v>
      </c>
      <c r="F11" s="243">
        <v>6</v>
      </c>
      <c r="G11" s="243">
        <v>7</v>
      </c>
      <c r="H11" s="243">
        <v>8</v>
      </c>
      <c r="I11" s="243">
        <v>9</v>
      </c>
      <c r="J11" s="243">
        <v>10</v>
      </c>
      <c r="K11" s="243">
        <v>11</v>
      </c>
      <c r="L11" s="243">
        <v>12</v>
      </c>
      <c r="M11" s="243">
        <v>13</v>
      </c>
    </row>
    <row r="12" spans="1:26" ht="15" x14ac:dyDescent="0.2">
      <c r="A12" s="272">
        <v>1</v>
      </c>
      <c r="B12" s="273" t="s">
        <v>896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26" ht="15" x14ac:dyDescent="0.2">
      <c r="A13" s="272">
        <v>2</v>
      </c>
      <c r="B13" s="273" t="s">
        <v>897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26" ht="15" x14ac:dyDescent="0.2">
      <c r="A14" s="272">
        <v>3</v>
      </c>
      <c r="B14" s="273" t="s">
        <v>898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26" ht="15" x14ac:dyDescent="0.2">
      <c r="A15" s="272">
        <v>4</v>
      </c>
      <c r="B15" s="273" t="s">
        <v>899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26" ht="15" x14ac:dyDescent="0.2">
      <c r="A16" s="272">
        <v>5</v>
      </c>
      <c r="B16" s="273" t="s">
        <v>900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x14ac:dyDescent="0.2">
      <c r="A17" s="272">
        <v>6</v>
      </c>
      <c r="B17" s="273" t="s">
        <v>901</v>
      </c>
      <c r="C17" s="9"/>
      <c r="D17" s="9"/>
      <c r="E17" s="9"/>
      <c r="F17" s="9" t="s">
        <v>961</v>
      </c>
      <c r="G17" s="9">
        <v>1</v>
      </c>
      <c r="H17" s="9">
        <v>297</v>
      </c>
      <c r="I17" s="9">
        <v>20972</v>
      </c>
      <c r="J17" s="9"/>
      <c r="K17" s="9"/>
      <c r="L17" s="9"/>
      <c r="M17" s="9"/>
    </row>
    <row r="18" spans="1:13" ht="15" x14ac:dyDescent="0.2">
      <c r="A18" s="272">
        <v>7</v>
      </c>
      <c r="B18" s="273" t="s">
        <v>902</v>
      </c>
      <c r="C18" s="9"/>
      <c r="D18" s="9"/>
      <c r="E18" s="9"/>
      <c r="F18" s="9" t="s">
        <v>961</v>
      </c>
      <c r="G18" s="9">
        <v>1</v>
      </c>
      <c r="H18" s="9">
        <v>79</v>
      </c>
      <c r="I18" s="9">
        <v>10612</v>
      </c>
      <c r="J18" s="9"/>
      <c r="K18" s="9"/>
      <c r="L18" s="9"/>
      <c r="M18" s="9"/>
    </row>
    <row r="19" spans="1:13" ht="15" x14ac:dyDescent="0.2">
      <c r="A19" s="272">
        <v>8</v>
      </c>
      <c r="B19" s="273" t="s">
        <v>903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 x14ac:dyDescent="0.2">
      <c r="A20" s="272">
        <v>9</v>
      </c>
      <c r="B20" s="273" t="s">
        <v>904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 x14ac:dyDescent="0.2">
      <c r="A21" s="272">
        <v>10</v>
      </c>
      <c r="B21" s="273" t="s">
        <v>905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 x14ac:dyDescent="0.2">
      <c r="A22" s="272">
        <v>11</v>
      </c>
      <c r="B22" s="273" t="s">
        <v>906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 x14ac:dyDescent="0.2">
      <c r="A23" s="272">
        <v>12</v>
      </c>
      <c r="B23" s="273" t="s">
        <v>907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 x14ac:dyDescent="0.2">
      <c r="A24" s="272">
        <v>13</v>
      </c>
      <c r="B24" s="273" t="s">
        <v>908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x14ac:dyDescent="0.2">
      <c r="A25" s="272">
        <v>14</v>
      </c>
      <c r="B25" s="273" t="s">
        <v>909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 x14ac:dyDescent="0.2">
      <c r="A26" s="272">
        <v>15</v>
      </c>
      <c r="B26" s="273" t="s">
        <v>910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x14ac:dyDescent="0.2">
      <c r="A27" s="272">
        <v>16</v>
      </c>
      <c r="B27" s="273" t="s">
        <v>911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6.5" customHeight="1" x14ac:dyDescent="0.2">
      <c r="A28" s="272">
        <v>17</v>
      </c>
      <c r="B28" s="273" t="s">
        <v>912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x14ac:dyDescent="0.2">
      <c r="A29" s="272">
        <v>18</v>
      </c>
      <c r="B29" s="273" t="s">
        <v>913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 x14ac:dyDescent="0.2">
      <c r="A30" s="272">
        <v>19</v>
      </c>
      <c r="B30" s="273" t="s">
        <v>914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 x14ac:dyDescent="0.2">
      <c r="A31" s="272">
        <v>20</v>
      </c>
      <c r="B31" s="273" t="s">
        <v>915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 x14ac:dyDescent="0.2">
      <c r="A32" s="272">
        <v>21</v>
      </c>
      <c r="B32" s="273" t="s">
        <v>916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6" ht="15" x14ac:dyDescent="0.2">
      <c r="A33" s="272">
        <v>22</v>
      </c>
      <c r="B33" s="273" t="s">
        <v>917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6" ht="15" x14ac:dyDescent="0.2">
      <c r="A34" s="272">
        <v>23</v>
      </c>
      <c r="B34" s="273" t="s">
        <v>918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6" ht="15" x14ac:dyDescent="0.2">
      <c r="A35" s="272">
        <v>24</v>
      </c>
      <c r="B35" s="274" t="s">
        <v>919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6" ht="15" x14ac:dyDescent="0.2">
      <c r="A36" s="666"/>
      <c r="B36" s="39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6" ht="15.75" x14ac:dyDescent="0.25">
      <c r="A37" s="674" t="s">
        <v>22</v>
      </c>
      <c r="B37" s="39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6" ht="15" x14ac:dyDescent="0.2">
      <c r="A38" s="666"/>
      <c r="B38" s="39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6" ht="15" x14ac:dyDescent="0.2">
      <c r="A39" s="666"/>
      <c r="B39" s="39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6" ht="15.75" x14ac:dyDescent="0.2">
      <c r="A40" s="898" t="s">
        <v>13</v>
      </c>
      <c r="B40" s="898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1"/>
      <c r="O40" s="81"/>
      <c r="P40" s="81"/>
    </row>
    <row r="41" spans="1:16" ht="15.6" customHeight="1" x14ac:dyDescent="0.2">
      <c r="A41" s="898" t="s">
        <v>14</v>
      </c>
      <c r="B41" s="898"/>
      <c r="C41" s="898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122"/>
      <c r="O41" s="81"/>
      <c r="P41" s="81"/>
    </row>
    <row r="42" spans="1:16" x14ac:dyDescent="0.2">
      <c r="A42" s="81"/>
      <c r="B42" s="81"/>
      <c r="C42" s="81"/>
      <c r="D42" s="81"/>
      <c r="E42" s="81"/>
      <c r="F42" s="81"/>
      <c r="G42" s="81"/>
      <c r="L42" s="33" t="s">
        <v>84</v>
      </c>
      <c r="M42" s="33"/>
      <c r="N42" s="33"/>
      <c r="O42" s="33"/>
      <c r="P42" s="33"/>
    </row>
  </sheetData>
  <mergeCells count="12">
    <mergeCell ref="L1:M1"/>
    <mergeCell ref="A2:M2"/>
    <mergeCell ref="A3:M3"/>
    <mergeCell ref="A5:M5"/>
    <mergeCell ref="A7:B7"/>
    <mergeCell ref="A9:A10"/>
    <mergeCell ref="B9:B10"/>
    <mergeCell ref="A41:M41"/>
    <mergeCell ref="F9:I9"/>
    <mergeCell ref="J9:M9"/>
    <mergeCell ref="C9:E9"/>
    <mergeCell ref="A40:M40"/>
  </mergeCells>
  <printOptions horizontalCentered="1"/>
  <pageMargins left="0.70866141732283472" right="0.16" top="0.34" bottom="0" header="0.31496062992125984" footer="0.31496062992125984"/>
  <pageSetup paperSize="9" scale="6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L39"/>
  <sheetViews>
    <sheetView topLeftCell="A7" zoomScaleSheetLayoutView="84" workbookViewId="0">
      <selection activeCell="C29" sqref="C29"/>
    </sheetView>
  </sheetViews>
  <sheetFormatPr defaultRowHeight="12.75" x14ac:dyDescent="0.2"/>
  <cols>
    <col min="1" max="1" width="5.85546875" customWidth="1"/>
    <col min="2" max="2" width="15.28515625" bestFit="1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 x14ac:dyDescent="0.35">
      <c r="A1" s="918" t="s">
        <v>0</v>
      </c>
      <c r="B1" s="918"/>
      <c r="C1" s="918"/>
      <c r="D1" s="918"/>
      <c r="E1" s="918"/>
      <c r="F1" s="918"/>
      <c r="G1" s="918"/>
      <c r="H1" s="918"/>
      <c r="I1" s="918"/>
      <c r="J1" s="1070" t="s">
        <v>519</v>
      </c>
      <c r="K1" s="1070"/>
    </row>
    <row r="2" spans="1:12" ht="21" x14ac:dyDescent="0.35">
      <c r="A2" s="919" t="s">
        <v>740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</row>
    <row r="3" spans="1:12" ht="15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27" customHeight="1" x14ac:dyDescent="0.3">
      <c r="A4" s="1071" t="s">
        <v>696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</row>
    <row r="5" spans="1:12" ht="15" x14ac:dyDescent="0.3">
      <c r="A5" s="172" t="s">
        <v>924</v>
      </c>
      <c r="B5" s="172"/>
      <c r="C5" s="172"/>
      <c r="D5" s="172"/>
      <c r="E5" s="172"/>
      <c r="F5" s="172"/>
      <c r="G5" s="172"/>
      <c r="H5" s="172"/>
      <c r="I5" s="171"/>
      <c r="J5" s="1072" t="s">
        <v>830</v>
      </c>
      <c r="K5" s="1072"/>
      <c r="L5" s="1072"/>
    </row>
    <row r="6" spans="1:12" ht="27.75" customHeight="1" x14ac:dyDescent="0.2">
      <c r="A6" s="1009" t="s">
        <v>2</v>
      </c>
      <c r="B6" s="1009" t="s">
        <v>3</v>
      </c>
      <c r="C6" s="1009" t="s">
        <v>293</v>
      </c>
      <c r="D6" s="1009" t="s">
        <v>294</v>
      </c>
      <c r="E6" s="1009"/>
      <c r="F6" s="1009"/>
      <c r="G6" s="1009"/>
      <c r="H6" s="1009"/>
      <c r="I6" s="1073" t="s">
        <v>295</v>
      </c>
      <c r="J6" s="1074"/>
      <c r="K6" s="1075"/>
    </row>
    <row r="7" spans="1:12" ht="90" customHeight="1" x14ac:dyDescent="0.2">
      <c r="A7" s="1009"/>
      <c r="B7" s="1009"/>
      <c r="C7" s="1009"/>
      <c r="D7" s="204" t="s">
        <v>296</v>
      </c>
      <c r="E7" s="204" t="s">
        <v>194</v>
      </c>
      <c r="F7" s="204" t="s">
        <v>444</v>
      </c>
      <c r="G7" s="204" t="s">
        <v>297</v>
      </c>
      <c r="H7" s="204" t="s">
        <v>418</v>
      </c>
      <c r="I7" s="204" t="s">
        <v>298</v>
      </c>
      <c r="J7" s="204" t="s">
        <v>299</v>
      </c>
      <c r="K7" s="204" t="s">
        <v>300</v>
      </c>
    </row>
    <row r="8" spans="1:12" ht="15" x14ac:dyDescent="0.2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  <c r="H8" s="175" t="s">
        <v>263</v>
      </c>
      <c r="I8" s="175" t="s">
        <v>282</v>
      </c>
      <c r="J8" s="175" t="s">
        <v>283</v>
      </c>
      <c r="K8" s="175" t="s">
        <v>284</v>
      </c>
    </row>
    <row r="9" spans="1:12" x14ac:dyDescent="0.2">
      <c r="A9" s="17">
        <v>1</v>
      </c>
      <c r="B9" s="176" t="s">
        <v>896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A10" s="17">
        <v>2</v>
      </c>
      <c r="B10" s="176" t="s">
        <v>897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17">
        <v>3</v>
      </c>
      <c r="B11" s="176" t="s">
        <v>898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">
      <c r="A12" s="17">
        <v>4</v>
      </c>
      <c r="B12" s="176" t="s">
        <v>899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">
      <c r="A13" s="17">
        <v>5</v>
      </c>
      <c r="B13" s="176" t="s">
        <v>900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">
      <c r="A14" s="17">
        <v>6</v>
      </c>
      <c r="B14" s="176" t="s">
        <v>901</v>
      </c>
      <c r="C14" s="9">
        <v>1</v>
      </c>
      <c r="D14" s="9">
        <v>297</v>
      </c>
      <c r="E14" s="9">
        <v>20972</v>
      </c>
      <c r="F14" s="9">
        <v>0</v>
      </c>
      <c r="G14" s="9">
        <v>672</v>
      </c>
      <c r="H14" s="9">
        <v>672</v>
      </c>
      <c r="I14" s="9">
        <v>0</v>
      </c>
      <c r="J14" s="371">
        <f>G14*1500*10/100000</f>
        <v>100.8</v>
      </c>
      <c r="K14" s="9">
        <v>100.8</v>
      </c>
      <c r="L14" s="9"/>
    </row>
    <row r="15" spans="1:12" x14ac:dyDescent="0.2">
      <c r="A15" s="17">
        <v>7</v>
      </c>
      <c r="B15" s="176" t="s">
        <v>902</v>
      </c>
      <c r="C15" s="9">
        <v>1</v>
      </c>
      <c r="D15" s="9">
        <v>79</v>
      </c>
      <c r="E15" s="9">
        <v>10612</v>
      </c>
      <c r="F15" s="9">
        <v>0</v>
      </c>
      <c r="G15" s="9">
        <v>177</v>
      </c>
      <c r="H15" s="9">
        <v>177</v>
      </c>
      <c r="I15" s="9">
        <v>0</v>
      </c>
      <c r="J15" s="9">
        <v>26.55</v>
      </c>
      <c r="K15" s="9">
        <v>26.55</v>
      </c>
      <c r="L15" s="9"/>
    </row>
    <row r="16" spans="1:12" x14ac:dyDescent="0.2">
      <c r="A16" s="17">
        <v>8</v>
      </c>
      <c r="B16" s="176" t="s">
        <v>903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">
      <c r="A17" s="17">
        <v>9</v>
      </c>
      <c r="B17" s="176" t="s">
        <v>904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">
      <c r="A18" s="17">
        <v>10</v>
      </c>
      <c r="B18" s="176" t="s">
        <v>905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">
      <c r="A19" s="17">
        <v>11</v>
      </c>
      <c r="B19" s="176" t="s">
        <v>906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">
      <c r="A20" s="17">
        <v>12</v>
      </c>
      <c r="B20" s="269" t="s">
        <v>907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A21" s="17">
        <v>13</v>
      </c>
      <c r="B21" s="176" t="s">
        <v>908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A22" s="17">
        <v>14</v>
      </c>
      <c r="B22" s="176" t="s">
        <v>909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17">
        <v>15</v>
      </c>
      <c r="B23" s="176" t="s">
        <v>910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A24" s="17">
        <v>16</v>
      </c>
      <c r="B24" s="176" t="s">
        <v>911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6.5" customHeight="1" x14ac:dyDescent="0.2">
      <c r="A25" s="17">
        <v>17</v>
      </c>
      <c r="B25" s="176" t="s">
        <v>912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A26" s="17">
        <v>18</v>
      </c>
      <c r="B26" s="176" t="s">
        <v>913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A27" s="17">
        <v>19</v>
      </c>
      <c r="B27" s="176" t="s">
        <v>914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">
      <c r="A28" s="17">
        <v>20</v>
      </c>
      <c r="B28" s="176" t="s">
        <v>915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">
      <c r="A29" s="17">
        <v>21</v>
      </c>
      <c r="B29" s="176" t="s">
        <v>916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">
      <c r="A30" s="17">
        <v>22</v>
      </c>
      <c r="B30" s="176" t="s">
        <v>917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">
      <c r="A31" s="17">
        <v>23</v>
      </c>
      <c r="B31" s="176" t="s">
        <v>918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">
      <c r="A32" s="17">
        <v>24</v>
      </c>
      <c r="B32" s="18" t="s">
        <v>919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1:11" x14ac:dyDescent="0.2">
      <c r="A34" s="642" t="s">
        <v>22</v>
      </c>
    </row>
    <row r="36" spans="1:11" x14ac:dyDescent="0.2">
      <c r="I36" s="821" t="s">
        <v>12</v>
      </c>
      <c r="J36" s="821"/>
      <c r="K36" s="469"/>
    </row>
    <row r="37" spans="1:11" x14ac:dyDescent="0.2">
      <c r="I37" s="821" t="s">
        <v>13</v>
      </c>
      <c r="J37" s="821"/>
      <c r="K37" s="821"/>
    </row>
    <row r="38" spans="1:11" x14ac:dyDescent="0.2">
      <c r="I38" s="821" t="s">
        <v>19</v>
      </c>
      <c r="J38" s="821"/>
      <c r="K38" s="821"/>
    </row>
    <row r="39" spans="1:11" x14ac:dyDescent="0.2">
      <c r="I39" s="33" t="s">
        <v>23</v>
      </c>
      <c r="J39" s="469"/>
      <c r="K39" s="469"/>
    </row>
  </sheetData>
  <mergeCells count="13">
    <mergeCell ref="I36:J36"/>
    <mergeCell ref="I37:K37"/>
    <mergeCell ref="I38:K38"/>
    <mergeCell ref="D6:H6"/>
    <mergeCell ref="I6:K6"/>
    <mergeCell ref="A6:A7"/>
    <mergeCell ref="B6:B7"/>
    <mergeCell ref="C6:C7"/>
    <mergeCell ref="A1:I1"/>
    <mergeCell ref="J1:K1"/>
    <mergeCell ref="A2:K2"/>
    <mergeCell ref="A4:K4"/>
    <mergeCell ref="J5:L5"/>
  </mergeCells>
  <printOptions horizontalCentered="1"/>
  <pageMargins left="0.70866141732283472" right="0.36" top="0.23622047244094491" bottom="0" header="0.21" footer="0.16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V37"/>
  <sheetViews>
    <sheetView topLeftCell="A10" zoomScaleNormal="100" zoomScaleSheetLayoutView="90" workbookViewId="0">
      <selection activeCell="J27" sqref="J27"/>
    </sheetView>
  </sheetViews>
  <sheetFormatPr defaultRowHeight="12.75" x14ac:dyDescent="0.2"/>
  <cols>
    <col min="1" max="1" width="4.85546875" customWidth="1"/>
    <col min="2" max="2" width="19.5703125" customWidth="1"/>
    <col min="3" max="3" width="10.5703125" bestFit="1" customWidth="1"/>
    <col min="4" max="4" width="10.28515625" bestFit="1" customWidth="1"/>
    <col min="5" max="6" width="11" bestFit="1" customWidth="1"/>
    <col min="7" max="7" width="10.5703125" bestFit="1" customWidth="1"/>
    <col min="8" max="8" width="9.85546875" bestFit="1" customWidth="1"/>
    <col min="9" max="9" width="9.140625" bestFit="1" customWidth="1"/>
    <col min="10" max="10" width="10.5703125" bestFit="1" customWidth="1"/>
    <col min="11" max="11" width="10.28515625" bestFit="1" customWidth="1"/>
    <col min="12" max="12" width="9.5703125" bestFit="1" customWidth="1"/>
    <col min="13" max="13" width="9.85546875" bestFit="1" customWidth="1"/>
    <col min="14" max="15" width="10.5703125" bestFit="1" customWidth="1"/>
    <col min="16" max="16" width="9.85546875" bestFit="1" customWidth="1"/>
    <col min="17" max="17" width="10.5703125" bestFit="1" customWidth="1"/>
    <col min="18" max="18" width="11" bestFit="1" customWidth="1"/>
    <col min="19" max="19" width="11.140625" bestFit="1" customWidth="1"/>
    <col min="20" max="20" width="10.7109375" customWidth="1"/>
    <col min="21" max="21" width="10.85546875" bestFit="1" customWidth="1"/>
    <col min="22" max="22" width="10.5703125" bestFit="1" customWidth="1"/>
    <col min="28" max="28" width="11" customWidth="1"/>
    <col min="29" max="30" width="8.85546875" hidden="1" customWidth="1"/>
  </cols>
  <sheetData>
    <row r="2" spans="1:256" x14ac:dyDescent="0.2">
      <c r="G2" s="853"/>
      <c r="H2" s="853"/>
      <c r="I2" s="853"/>
      <c r="J2" s="853"/>
      <c r="K2" s="853"/>
      <c r="L2" s="853"/>
      <c r="M2" s="853"/>
      <c r="N2" s="853"/>
      <c r="O2" s="853"/>
      <c r="P2" s="1"/>
      <c r="Q2" s="1"/>
      <c r="R2" s="1"/>
      <c r="T2" s="45" t="s">
        <v>59</v>
      </c>
    </row>
    <row r="3" spans="1:256" ht="15" x14ac:dyDescent="0.25">
      <c r="A3" s="796" t="s">
        <v>57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</row>
    <row r="4" spans="1:256" ht="15.75" x14ac:dyDescent="0.25">
      <c r="A4" s="850" t="s">
        <v>740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 x14ac:dyDescent="0.25">
      <c r="A6" s="870" t="s">
        <v>790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</row>
    <row r="7" spans="1:256" ht="15.7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56" ht="15.75" x14ac:dyDescent="0.25">
      <c r="A8" s="820" t="s">
        <v>158</v>
      </c>
      <c r="B8" s="820"/>
      <c r="C8" s="820"/>
      <c r="D8" s="29"/>
      <c r="E8" s="29"/>
      <c r="F8" s="29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0" spans="1:256" ht="15" x14ac:dyDescent="0.25">
      <c r="U10" s="868" t="s">
        <v>455</v>
      </c>
      <c r="V10" s="868"/>
      <c r="W10" s="15"/>
      <c r="X10" s="15"/>
      <c r="Y10" s="15"/>
      <c r="Z10" s="15"/>
      <c r="AA10" s="15"/>
      <c r="AB10" s="842"/>
      <c r="AC10" s="842"/>
      <c r="AD10" s="842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 x14ac:dyDescent="0.2">
      <c r="A11" s="871" t="s">
        <v>2</v>
      </c>
      <c r="B11" s="871" t="s">
        <v>111</v>
      </c>
      <c r="C11" s="854" t="s">
        <v>150</v>
      </c>
      <c r="D11" s="854"/>
      <c r="E11" s="854"/>
      <c r="F11" s="854"/>
      <c r="G11" s="802" t="s">
        <v>828</v>
      </c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34" t="s">
        <v>240</v>
      </c>
      <c r="T11" s="834"/>
      <c r="U11" s="834"/>
      <c r="V11" s="834"/>
      <c r="W11" s="109"/>
      <c r="X11" s="109"/>
      <c r="Y11" s="109"/>
      <c r="Z11" s="109"/>
      <c r="AA11" s="109"/>
      <c r="AB11" s="109"/>
      <c r="AC11" s="109"/>
      <c r="AD11" s="109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">
      <c r="A12" s="871"/>
      <c r="B12" s="871"/>
      <c r="C12" s="854"/>
      <c r="D12" s="854"/>
      <c r="E12" s="854"/>
      <c r="F12" s="854"/>
      <c r="G12" s="802" t="s">
        <v>171</v>
      </c>
      <c r="H12" s="802"/>
      <c r="I12" s="802"/>
      <c r="J12" s="802"/>
      <c r="K12" s="802" t="s">
        <v>172</v>
      </c>
      <c r="L12" s="802"/>
      <c r="M12" s="802"/>
      <c r="N12" s="802"/>
      <c r="O12" s="802" t="s">
        <v>18</v>
      </c>
      <c r="P12" s="802"/>
      <c r="Q12" s="802"/>
      <c r="R12" s="802"/>
      <c r="S12" s="834"/>
      <c r="T12" s="834"/>
      <c r="U12" s="834"/>
      <c r="V12" s="834"/>
      <c r="W12" s="109"/>
      <c r="X12" s="109"/>
      <c r="Y12" s="109"/>
      <c r="Z12" s="109"/>
      <c r="AA12" s="109"/>
      <c r="AB12" s="109"/>
      <c r="AC12" s="109"/>
      <c r="AD12" s="109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 x14ac:dyDescent="0.2">
      <c r="A13" s="542"/>
      <c r="B13" s="542"/>
      <c r="C13" s="632" t="s">
        <v>241</v>
      </c>
      <c r="D13" s="632" t="s">
        <v>242</v>
      </c>
      <c r="E13" s="632" t="s">
        <v>243</v>
      </c>
      <c r="F13" s="632" t="s">
        <v>91</v>
      </c>
      <c r="G13" s="632" t="s">
        <v>241</v>
      </c>
      <c r="H13" s="632" t="s">
        <v>242</v>
      </c>
      <c r="I13" s="632" t="s">
        <v>243</v>
      </c>
      <c r="J13" s="632" t="s">
        <v>18</v>
      </c>
      <c r="K13" s="632" t="s">
        <v>241</v>
      </c>
      <c r="L13" s="632" t="s">
        <v>242</v>
      </c>
      <c r="M13" s="632" t="s">
        <v>243</v>
      </c>
      <c r="N13" s="632" t="s">
        <v>91</v>
      </c>
      <c r="O13" s="632" t="s">
        <v>241</v>
      </c>
      <c r="P13" s="632" t="s">
        <v>242</v>
      </c>
      <c r="Q13" s="632" t="s">
        <v>243</v>
      </c>
      <c r="R13" s="632" t="s">
        <v>18</v>
      </c>
      <c r="S13" s="631" t="s">
        <v>451</v>
      </c>
      <c r="T13" s="631" t="s">
        <v>452</v>
      </c>
      <c r="U13" s="631" t="s">
        <v>453</v>
      </c>
      <c r="V13" s="36" t="s">
        <v>454</v>
      </c>
      <c r="W13" s="109"/>
      <c r="X13" s="109"/>
      <c r="Y13" s="109"/>
      <c r="Z13" s="109"/>
      <c r="AA13" s="109"/>
      <c r="AB13" s="109"/>
      <c r="AC13" s="109"/>
      <c r="AD13" s="109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129">
        <v>1</v>
      </c>
      <c r="B14" s="145">
        <v>2</v>
      </c>
      <c r="C14" s="129">
        <v>3</v>
      </c>
      <c r="D14" s="129">
        <v>4</v>
      </c>
      <c r="E14" s="145">
        <v>5</v>
      </c>
      <c r="F14" s="129">
        <v>6</v>
      </c>
      <c r="G14" s="129">
        <v>7</v>
      </c>
      <c r="H14" s="145">
        <v>8</v>
      </c>
      <c r="I14" s="129">
        <v>9</v>
      </c>
      <c r="J14" s="129">
        <v>10</v>
      </c>
      <c r="K14" s="145">
        <v>11</v>
      </c>
      <c r="L14" s="129">
        <v>12</v>
      </c>
      <c r="M14" s="129">
        <v>13</v>
      </c>
      <c r="N14" s="145">
        <v>14</v>
      </c>
      <c r="O14" s="129">
        <v>15</v>
      </c>
      <c r="P14" s="129">
        <v>16</v>
      </c>
      <c r="Q14" s="145">
        <v>17</v>
      </c>
      <c r="R14" s="129">
        <v>18</v>
      </c>
      <c r="S14" s="129">
        <v>19</v>
      </c>
      <c r="T14" s="145">
        <v>20</v>
      </c>
      <c r="U14" s="129">
        <v>21</v>
      </c>
      <c r="V14" s="129">
        <v>22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25.5" customHeight="1" x14ac:dyDescent="0.2">
      <c r="A15" s="869" t="s">
        <v>228</v>
      </c>
      <c r="B15" s="869"/>
      <c r="C15" s="869"/>
      <c r="D15" s="869"/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x14ac:dyDescent="0.2">
      <c r="A16" s="632">
        <v>1</v>
      </c>
      <c r="B16" s="147" t="s">
        <v>177</v>
      </c>
      <c r="C16" s="864">
        <f>16921.67+23520.59</f>
        <v>40442.259999999995</v>
      </c>
      <c r="D16" s="864">
        <f>4359.91+6060.17</f>
        <v>10420.08</v>
      </c>
      <c r="E16" s="864">
        <f>8340.54+11589.19</f>
        <v>19929.730000000003</v>
      </c>
      <c r="F16" s="864">
        <f>SUM(C16:E16)</f>
        <v>70792.070000000007</v>
      </c>
      <c r="G16" s="864">
        <v>16100.3236</v>
      </c>
      <c r="H16" s="864">
        <v>4177.7205000000004</v>
      </c>
      <c r="I16" s="864">
        <v>7987.9659000000001</v>
      </c>
      <c r="J16" s="864">
        <f>SUM(G16:I16)</f>
        <v>28266.01</v>
      </c>
      <c r="K16" s="864">
        <f>8958.69+157.43727</f>
        <v>9116.1272700000009</v>
      </c>
      <c r="L16" s="864">
        <f>2324.6+40.85181</f>
        <v>2365.45181</v>
      </c>
      <c r="M16" s="864">
        <f>4004.83866+78.11073</f>
        <v>4082.9493899999998</v>
      </c>
      <c r="N16" s="864">
        <f>SUM(K16:M16)</f>
        <v>15564.528470000001</v>
      </c>
      <c r="O16" s="864">
        <f>G16+K16</f>
        <v>25216.450870000001</v>
      </c>
      <c r="P16" s="864">
        <f>H16+L16</f>
        <v>6543.1723099999999</v>
      </c>
      <c r="Q16" s="864">
        <f>I16+M16</f>
        <v>12070.915290000001</v>
      </c>
      <c r="R16" s="864">
        <f>J16+N16</f>
        <v>43830.53847</v>
      </c>
      <c r="S16" s="864">
        <f>C16-O16</f>
        <v>15225.809129999994</v>
      </c>
      <c r="T16" s="864">
        <f>D16-P16</f>
        <v>3876.90769</v>
      </c>
      <c r="U16" s="864">
        <f>E16-Q16</f>
        <v>7858.8147100000024</v>
      </c>
      <c r="V16" s="864">
        <f>F16-R16</f>
        <v>26961.531530000007</v>
      </c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8" x14ac:dyDescent="0.2">
      <c r="A17" s="632">
        <v>2</v>
      </c>
      <c r="B17" s="148" t="s">
        <v>122</v>
      </c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Y17" s="820"/>
      <c r="Z17" s="820"/>
      <c r="AA17" s="820"/>
      <c r="AB17" s="820"/>
    </row>
    <row r="18" spans="1:28" ht="25.5" x14ac:dyDescent="0.2">
      <c r="A18" s="632">
        <v>3</v>
      </c>
      <c r="B18" s="147" t="s">
        <v>123</v>
      </c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</row>
    <row r="19" spans="1:28" x14ac:dyDescent="0.2">
      <c r="A19" s="632">
        <v>4</v>
      </c>
      <c r="B19" s="148" t="s">
        <v>124</v>
      </c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</row>
    <row r="20" spans="1:28" ht="25.5" x14ac:dyDescent="0.2">
      <c r="A20" s="632">
        <v>5</v>
      </c>
      <c r="B20" s="147" t="s">
        <v>125</v>
      </c>
      <c r="C20" s="299">
        <f>2902.44+4244.61</f>
        <v>7147.0499999999993</v>
      </c>
      <c r="D20" s="299">
        <f>747.93+1093.78</f>
        <v>1841.71</v>
      </c>
      <c r="E20" s="299">
        <f>1427.51+2091.66</f>
        <v>3519.17</v>
      </c>
      <c r="F20" s="299">
        <f>SUM(C20:E20)</f>
        <v>12507.929999999998</v>
      </c>
      <c r="G20" s="299">
        <v>2303.9663999999998</v>
      </c>
      <c r="H20" s="299">
        <v>597.83950000000004</v>
      </c>
      <c r="I20" s="299">
        <v>1143.0841</v>
      </c>
      <c r="J20" s="299">
        <f>SUM(G20:I20)</f>
        <v>4044.89</v>
      </c>
      <c r="K20" s="299">
        <v>1529.9965999999999</v>
      </c>
      <c r="L20" s="299">
        <v>398.56</v>
      </c>
      <c r="M20" s="299">
        <v>574.57039999999995</v>
      </c>
      <c r="N20" s="299">
        <f>SUM(K20:M20)</f>
        <v>2503.127</v>
      </c>
      <c r="O20" s="299">
        <f>G20+K20</f>
        <v>3833.9629999999997</v>
      </c>
      <c r="P20" s="299">
        <f>H20+L20</f>
        <v>996.39949999999999</v>
      </c>
      <c r="Q20" s="299">
        <f>I20+M20</f>
        <v>1717.6545000000001</v>
      </c>
      <c r="R20" s="299">
        <f>J20+N20</f>
        <v>6548.0169999999998</v>
      </c>
      <c r="S20" s="299">
        <f>C20-O20</f>
        <v>3313.0869999999995</v>
      </c>
      <c r="T20" s="299">
        <f>D20-P20</f>
        <v>845.31050000000005</v>
      </c>
      <c r="U20" s="299">
        <f>E20-Q20</f>
        <v>1801.5155</v>
      </c>
      <c r="V20" s="299">
        <f>F20-R20</f>
        <v>5959.9129999999986</v>
      </c>
    </row>
    <row r="21" spans="1:28" s="51" customFormat="1" ht="15" x14ac:dyDescent="0.25">
      <c r="A21" s="300"/>
      <c r="B21" s="281" t="s">
        <v>91</v>
      </c>
      <c r="C21" s="301">
        <f>SUM(C16:C20)</f>
        <v>47589.31</v>
      </c>
      <c r="D21" s="301">
        <f>SUM(D16:D20)</f>
        <v>12261.79</v>
      </c>
      <c r="E21" s="301">
        <f>SUM(E16:E20)</f>
        <v>23448.9</v>
      </c>
      <c r="F21" s="301">
        <f>SUM(C21:E21)</f>
        <v>83300</v>
      </c>
      <c r="G21" s="301">
        <f>SUM(G16:G20)</f>
        <v>18404.29</v>
      </c>
      <c r="H21" s="301">
        <f t="shared" ref="H21:V21" si="0">SUM(H16:H20)</f>
        <v>4775.5600000000004</v>
      </c>
      <c r="I21" s="301">
        <f t="shared" si="0"/>
        <v>9131.0499999999993</v>
      </c>
      <c r="J21" s="301">
        <f t="shared" si="0"/>
        <v>32310.899999999998</v>
      </c>
      <c r="K21" s="301">
        <f t="shared" si="0"/>
        <v>10646.123870000001</v>
      </c>
      <c r="L21" s="301">
        <f t="shared" si="0"/>
        <v>2764.01181</v>
      </c>
      <c r="M21" s="301">
        <f t="shared" si="0"/>
        <v>4657.5197899999994</v>
      </c>
      <c r="N21" s="301">
        <f t="shared" si="0"/>
        <v>18067.655470000002</v>
      </c>
      <c r="O21" s="301">
        <f t="shared" si="0"/>
        <v>29050.41387</v>
      </c>
      <c r="P21" s="301">
        <f t="shared" si="0"/>
        <v>7539.5718099999995</v>
      </c>
      <c r="Q21" s="301">
        <f t="shared" si="0"/>
        <v>13788.569790000001</v>
      </c>
      <c r="R21" s="301">
        <f t="shared" si="0"/>
        <v>50378.555469999999</v>
      </c>
      <c r="S21" s="301">
        <f t="shared" si="0"/>
        <v>18538.896129999994</v>
      </c>
      <c r="T21" s="301">
        <f t="shared" si="0"/>
        <v>4722.2181899999996</v>
      </c>
      <c r="U21" s="301">
        <f t="shared" si="0"/>
        <v>9660.3302100000019</v>
      </c>
      <c r="V21" s="301">
        <f t="shared" si="0"/>
        <v>32921.444530000008</v>
      </c>
    </row>
    <row r="22" spans="1:28" ht="25.5" customHeight="1" x14ac:dyDescent="0.2">
      <c r="A22" s="865" t="s">
        <v>229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7"/>
    </row>
    <row r="23" spans="1:28" x14ac:dyDescent="0.2">
      <c r="A23" s="144">
        <v>6</v>
      </c>
      <c r="B23" s="147" t="s">
        <v>179</v>
      </c>
      <c r="C23" s="302">
        <v>0</v>
      </c>
      <c r="D23" s="302">
        <v>0</v>
      </c>
      <c r="E23" s="302">
        <v>0</v>
      </c>
      <c r="F23" s="302">
        <f>SUM(C23:E23)</f>
        <v>0</v>
      </c>
      <c r="G23" s="302">
        <v>0</v>
      </c>
      <c r="H23" s="302">
        <v>0</v>
      </c>
      <c r="I23" s="302">
        <v>0</v>
      </c>
      <c r="J23" s="302">
        <f>SUM(G23:I23)</f>
        <v>0</v>
      </c>
      <c r="K23" s="302">
        <v>0</v>
      </c>
      <c r="L23" s="302">
        <v>0</v>
      </c>
      <c r="M23" s="302">
        <v>0</v>
      </c>
      <c r="N23" s="302">
        <f>SUM(K23:M23)</f>
        <v>0</v>
      </c>
      <c r="O23" s="302">
        <v>0</v>
      </c>
      <c r="P23" s="302">
        <v>0</v>
      </c>
      <c r="Q23" s="302">
        <v>0</v>
      </c>
      <c r="R23" s="302">
        <f>SUM(O23:Q23)</f>
        <v>0</v>
      </c>
      <c r="S23" s="302">
        <f t="shared" ref="S23:V25" si="1">C23-O23</f>
        <v>0</v>
      </c>
      <c r="T23" s="302">
        <f t="shared" si="1"/>
        <v>0</v>
      </c>
      <c r="U23" s="302">
        <f t="shared" si="1"/>
        <v>0</v>
      </c>
      <c r="V23" s="302">
        <f t="shared" si="1"/>
        <v>0</v>
      </c>
      <c r="W23" s="15" t="s">
        <v>10</v>
      </c>
    </row>
    <row r="24" spans="1:28" x14ac:dyDescent="0.2">
      <c r="A24" s="144">
        <v>7</v>
      </c>
      <c r="B24" s="148" t="s">
        <v>127</v>
      </c>
      <c r="C24" s="302">
        <v>0</v>
      </c>
      <c r="D24" s="302">
        <v>0</v>
      </c>
      <c r="E24" s="302">
        <v>0</v>
      </c>
      <c r="F24" s="302">
        <f>SUM(C24:E24)</f>
        <v>0</v>
      </c>
      <c r="G24" s="302">
        <v>0</v>
      </c>
      <c r="H24" s="302">
        <v>0</v>
      </c>
      <c r="I24" s="302">
        <v>0</v>
      </c>
      <c r="J24" s="302">
        <f>SUM(G24:I24)</f>
        <v>0</v>
      </c>
      <c r="K24" s="302">
        <v>0</v>
      </c>
      <c r="L24" s="302">
        <v>0</v>
      </c>
      <c r="M24" s="302">
        <v>0</v>
      </c>
      <c r="N24" s="302">
        <f>SUM(K24:M24)</f>
        <v>0</v>
      </c>
      <c r="O24" s="302">
        <v>0</v>
      </c>
      <c r="P24" s="302">
        <v>0</v>
      </c>
      <c r="Q24" s="302">
        <v>0</v>
      </c>
      <c r="R24" s="302">
        <f>SUM(O24:Q24)</f>
        <v>0</v>
      </c>
      <c r="S24" s="302">
        <f t="shared" si="1"/>
        <v>0</v>
      </c>
      <c r="T24" s="302">
        <f t="shared" si="1"/>
        <v>0</v>
      </c>
      <c r="U24" s="302">
        <f t="shared" si="1"/>
        <v>0</v>
      </c>
      <c r="V24" s="302">
        <f t="shared" si="1"/>
        <v>0</v>
      </c>
    </row>
    <row r="25" spans="1:28" ht="25.5" x14ac:dyDescent="0.2">
      <c r="A25" s="144">
        <v>8</v>
      </c>
      <c r="B25" s="147" t="s">
        <v>848</v>
      </c>
      <c r="C25" s="302">
        <v>0</v>
      </c>
      <c r="D25" s="302">
        <v>0</v>
      </c>
      <c r="E25" s="302">
        <v>0</v>
      </c>
      <c r="F25" s="302">
        <f>SUM(C25:E25)</f>
        <v>0</v>
      </c>
      <c r="G25" s="302">
        <v>0</v>
      </c>
      <c r="H25" s="302">
        <v>0</v>
      </c>
      <c r="I25" s="302">
        <v>0</v>
      </c>
      <c r="J25" s="302">
        <f>SUM(G25:I25)</f>
        <v>0</v>
      </c>
      <c r="K25" s="302">
        <v>0</v>
      </c>
      <c r="L25" s="302">
        <v>0</v>
      </c>
      <c r="M25" s="302">
        <v>0</v>
      </c>
      <c r="N25" s="302">
        <f>SUM(K25:M25)</f>
        <v>0</v>
      </c>
      <c r="O25" s="302">
        <v>0</v>
      </c>
      <c r="P25" s="302">
        <v>0</v>
      </c>
      <c r="Q25" s="302">
        <v>0</v>
      </c>
      <c r="R25" s="302">
        <f>SUM(O25:Q25)</f>
        <v>0</v>
      </c>
      <c r="S25" s="302">
        <f t="shared" si="1"/>
        <v>0</v>
      </c>
      <c r="T25" s="302">
        <f t="shared" si="1"/>
        <v>0</v>
      </c>
      <c r="U25" s="302">
        <f t="shared" si="1"/>
        <v>0</v>
      </c>
      <c r="V25" s="302">
        <f t="shared" si="1"/>
        <v>0</v>
      </c>
    </row>
    <row r="26" spans="1:28" x14ac:dyDescent="0.2">
      <c r="A26" s="303"/>
      <c r="B26" s="148" t="s">
        <v>91</v>
      </c>
      <c r="C26" s="302">
        <f>SUM(C23:C25)</f>
        <v>0</v>
      </c>
      <c r="D26" s="302">
        <f t="shared" ref="D26:V26" si="2">SUM(D23:D25)</f>
        <v>0</v>
      </c>
      <c r="E26" s="302">
        <f t="shared" si="2"/>
        <v>0</v>
      </c>
      <c r="F26" s="302">
        <f t="shared" si="2"/>
        <v>0</v>
      </c>
      <c r="G26" s="302">
        <f t="shared" si="2"/>
        <v>0</v>
      </c>
      <c r="H26" s="302">
        <f t="shared" si="2"/>
        <v>0</v>
      </c>
      <c r="I26" s="302">
        <f t="shared" si="2"/>
        <v>0</v>
      </c>
      <c r="J26" s="302">
        <f t="shared" si="2"/>
        <v>0</v>
      </c>
      <c r="K26" s="302">
        <f t="shared" si="2"/>
        <v>0</v>
      </c>
      <c r="L26" s="302">
        <f t="shared" si="2"/>
        <v>0</v>
      </c>
      <c r="M26" s="302">
        <f t="shared" si="2"/>
        <v>0</v>
      </c>
      <c r="N26" s="302">
        <f t="shared" si="2"/>
        <v>0</v>
      </c>
      <c r="O26" s="302">
        <f t="shared" si="2"/>
        <v>0</v>
      </c>
      <c r="P26" s="302">
        <f t="shared" si="2"/>
        <v>0</v>
      </c>
      <c r="Q26" s="302">
        <f t="shared" si="2"/>
        <v>0</v>
      </c>
      <c r="R26" s="302">
        <f t="shared" si="2"/>
        <v>0</v>
      </c>
      <c r="S26" s="302">
        <f t="shared" si="2"/>
        <v>0</v>
      </c>
      <c r="T26" s="302">
        <f t="shared" si="2"/>
        <v>0</v>
      </c>
      <c r="U26" s="302">
        <f t="shared" si="2"/>
        <v>0</v>
      </c>
      <c r="V26" s="302">
        <f t="shared" si="2"/>
        <v>0</v>
      </c>
    </row>
    <row r="27" spans="1:28" s="51" customFormat="1" ht="15" x14ac:dyDescent="0.25">
      <c r="A27" s="304"/>
      <c r="B27" s="280" t="s">
        <v>37</v>
      </c>
      <c r="C27" s="305">
        <f>C21+C26</f>
        <v>47589.31</v>
      </c>
      <c r="D27" s="305">
        <f t="shared" ref="D27:V27" si="3">D21+D26</f>
        <v>12261.79</v>
      </c>
      <c r="E27" s="305">
        <f t="shared" si="3"/>
        <v>23448.9</v>
      </c>
      <c r="F27" s="305">
        <f t="shared" si="3"/>
        <v>83300</v>
      </c>
      <c r="G27" s="305">
        <f t="shared" si="3"/>
        <v>18404.29</v>
      </c>
      <c r="H27" s="305">
        <f t="shared" si="3"/>
        <v>4775.5600000000004</v>
      </c>
      <c r="I27" s="305">
        <f t="shared" si="3"/>
        <v>9131.0499999999993</v>
      </c>
      <c r="J27" s="305">
        <f t="shared" si="3"/>
        <v>32310.899999999998</v>
      </c>
      <c r="K27" s="305">
        <f t="shared" si="3"/>
        <v>10646.123870000001</v>
      </c>
      <c r="L27" s="305">
        <f t="shared" si="3"/>
        <v>2764.01181</v>
      </c>
      <c r="M27" s="305">
        <f t="shared" si="3"/>
        <v>4657.5197899999994</v>
      </c>
      <c r="N27" s="305">
        <f t="shared" si="3"/>
        <v>18067.655470000002</v>
      </c>
      <c r="O27" s="305">
        <f t="shared" si="3"/>
        <v>29050.41387</v>
      </c>
      <c r="P27" s="305">
        <f t="shared" si="3"/>
        <v>7539.5718099999995</v>
      </c>
      <c r="Q27" s="305">
        <f t="shared" si="3"/>
        <v>13788.569790000001</v>
      </c>
      <c r="R27" s="305">
        <f t="shared" si="3"/>
        <v>50378.555469999999</v>
      </c>
      <c r="S27" s="305">
        <f t="shared" si="3"/>
        <v>18538.896129999994</v>
      </c>
      <c r="T27" s="305">
        <f t="shared" si="3"/>
        <v>4722.2181899999996</v>
      </c>
      <c r="U27" s="305">
        <f t="shared" si="3"/>
        <v>9660.3302100000019</v>
      </c>
      <c r="V27" s="305">
        <f t="shared" si="3"/>
        <v>32921.444530000008</v>
      </c>
    </row>
    <row r="28" spans="1:28" s="51" customFormat="1" ht="15" x14ac:dyDescent="0.25">
      <c r="A28" s="282"/>
      <c r="B28" s="283" t="s">
        <v>929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</row>
    <row r="29" spans="1:28" s="51" customFormat="1" ht="15" x14ac:dyDescent="0.25">
      <c r="A29" s="282"/>
      <c r="B29" s="283" t="s">
        <v>930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</row>
    <row r="30" spans="1:28" s="51" customFormat="1" ht="15" x14ac:dyDescent="0.25">
      <c r="A30" s="282"/>
      <c r="B30" s="283" t="s">
        <v>931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</row>
    <row r="31" spans="1:28" s="51" customFormat="1" ht="15" x14ac:dyDescent="0.25">
      <c r="A31" s="282"/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</row>
    <row r="32" spans="1:28" s="51" customFormat="1" ht="15" x14ac:dyDescent="0.25">
      <c r="A32" s="282"/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</row>
    <row r="34" spans="1:37" x14ac:dyDescent="0.2">
      <c r="A34" s="14" t="s">
        <v>11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821" t="s">
        <v>12</v>
      </c>
      <c r="T34" s="821"/>
      <c r="U34" s="821"/>
      <c r="V34" s="821"/>
      <c r="W34" s="15"/>
      <c r="X34" s="15"/>
      <c r="Y34" s="15"/>
      <c r="Z34" s="15"/>
      <c r="AA34" s="15"/>
      <c r="AE34" s="15"/>
      <c r="AF34" s="15"/>
    </row>
    <row r="35" spans="1:37" ht="12.75" customHeight="1" x14ac:dyDescent="0.2">
      <c r="A35" s="803" t="s">
        <v>13</v>
      </c>
      <c r="B35" s="803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629"/>
      <c r="X35" s="629"/>
      <c r="Y35" s="629"/>
      <c r="Z35" s="629"/>
      <c r="AA35" s="629"/>
      <c r="AB35" s="629"/>
      <c r="AC35" s="629"/>
      <c r="AD35" s="629"/>
      <c r="AE35" s="15"/>
      <c r="AF35" s="15"/>
    </row>
    <row r="36" spans="1:37" ht="12.75" customHeight="1" x14ac:dyDescent="0.2">
      <c r="A36" s="803" t="s">
        <v>19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</row>
    <row r="37" spans="1:37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" t="s">
        <v>84</v>
      </c>
      <c r="T37" s="1"/>
      <c r="U37" s="1"/>
      <c r="V37" s="1"/>
      <c r="W37" s="14"/>
      <c r="X37" s="14"/>
      <c r="Y37" s="14"/>
      <c r="Z37" s="14"/>
      <c r="AE37" s="14"/>
      <c r="AF37" s="14"/>
    </row>
  </sheetData>
  <mergeCells count="41">
    <mergeCell ref="Y17:AB17"/>
    <mergeCell ref="AB10:AD10"/>
    <mergeCell ref="A11:A12"/>
    <mergeCell ref="B11:B12"/>
    <mergeCell ref="C11:F12"/>
    <mergeCell ref="G12:J12"/>
    <mergeCell ref="K12:N12"/>
    <mergeCell ref="C16:C19"/>
    <mergeCell ref="D16:D19"/>
    <mergeCell ref="E16:E19"/>
    <mergeCell ref="F16:F19"/>
    <mergeCell ref="G16:G19"/>
    <mergeCell ref="H16:H19"/>
    <mergeCell ref="N16:N19"/>
    <mergeCell ref="U16:U19"/>
    <mergeCell ref="V16:V19"/>
    <mergeCell ref="G2:O2"/>
    <mergeCell ref="A3:U3"/>
    <mergeCell ref="A4:U4"/>
    <mergeCell ref="A6:U6"/>
    <mergeCell ref="A8:C8"/>
    <mergeCell ref="U10:V10"/>
    <mergeCell ref="S11:V12"/>
    <mergeCell ref="O12:R12"/>
    <mergeCell ref="G11:R11"/>
    <mergeCell ref="A15:V15"/>
    <mergeCell ref="L16:L19"/>
    <mergeCell ref="M16:M19"/>
    <mergeCell ref="A35:V35"/>
    <mergeCell ref="S34:V34"/>
    <mergeCell ref="A36:V36"/>
    <mergeCell ref="A22:V22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</mergeCells>
  <printOptions horizontalCentered="1"/>
  <pageMargins left="0.34" right="0.23" top="0.23622047244094491" bottom="0" header="0.31496062992125984" footer="0.31496062992125984"/>
  <pageSetup paperSize="9" scale="62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O39"/>
  <sheetViews>
    <sheetView topLeftCell="A7" zoomScaleNormal="100" zoomScaleSheetLayoutView="100" workbookViewId="0">
      <selection activeCell="C29" sqref="C29"/>
    </sheetView>
  </sheetViews>
  <sheetFormatPr defaultRowHeight="12.75" x14ac:dyDescent="0.2"/>
  <cols>
    <col min="1" max="1" width="7.85546875" customWidth="1"/>
    <col min="2" max="2" width="14.85546875" bestFit="1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918" t="s">
        <v>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209" t="s">
        <v>521</v>
      </c>
    </row>
    <row r="2" spans="1:15" ht="21" x14ac:dyDescent="0.35">
      <c r="A2" s="919" t="s">
        <v>740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</row>
    <row r="3" spans="1:15" ht="15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5" ht="18" x14ac:dyDescent="0.35">
      <c r="A4" s="918" t="s">
        <v>520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</row>
    <row r="5" spans="1:15" ht="15" x14ac:dyDescent="0.3">
      <c r="A5" s="172" t="s">
        <v>920</v>
      </c>
      <c r="B5" s="172"/>
      <c r="C5" s="172"/>
      <c r="D5" s="172"/>
      <c r="E5" s="172"/>
      <c r="F5" s="172"/>
      <c r="G5" s="172"/>
      <c r="H5" s="172"/>
      <c r="I5" s="172"/>
      <c r="J5" s="172"/>
      <c r="K5" s="171"/>
      <c r="M5" s="1072" t="s">
        <v>830</v>
      </c>
      <c r="N5" s="1072"/>
      <c r="O5" s="1072"/>
    </row>
    <row r="6" spans="1:15" ht="44.25" customHeight="1" x14ac:dyDescent="0.2">
      <c r="A6" s="1009" t="s">
        <v>2</v>
      </c>
      <c r="B6" s="1009" t="s">
        <v>3</v>
      </c>
      <c r="C6" s="1009" t="s">
        <v>301</v>
      </c>
      <c r="D6" s="1076" t="s">
        <v>302</v>
      </c>
      <c r="E6" s="1076" t="s">
        <v>303</v>
      </c>
      <c r="F6" s="1076" t="s">
        <v>304</v>
      </c>
      <c r="G6" s="1076" t="s">
        <v>305</v>
      </c>
      <c r="H6" s="1009" t="s">
        <v>306</v>
      </c>
      <c r="I6" s="1009"/>
      <c r="J6" s="1009" t="s">
        <v>307</v>
      </c>
      <c r="K6" s="1009"/>
      <c r="L6" s="1009" t="s">
        <v>308</v>
      </c>
      <c r="M6" s="1009"/>
      <c r="N6" s="1009" t="s">
        <v>309</v>
      </c>
      <c r="O6" s="1009"/>
    </row>
    <row r="7" spans="1:15" ht="54" customHeight="1" x14ac:dyDescent="0.2">
      <c r="A7" s="1009"/>
      <c r="B7" s="1009"/>
      <c r="C7" s="1009"/>
      <c r="D7" s="1077"/>
      <c r="E7" s="1077"/>
      <c r="F7" s="1077"/>
      <c r="G7" s="1077"/>
      <c r="H7" s="204" t="s">
        <v>310</v>
      </c>
      <c r="I7" s="204" t="s">
        <v>311</v>
      </c>
      <c r="J7" s="204" t="s">
        <v>310</v>
      </c>
      <c r="K7" s="204" t="s">
        <v>311</v>
      </c>
      <c r="L7" s="204" t="s">
        <v>310</v>
      </c>
      <c r="M7" s="204" t="s">
        <v>311</v>
      </c>
      <c r="N7" s="204" t="s">
        <v>310</v>
      </c>
      <c r="O7" s="204" t="s">
        <v>311</v>
      </c>
    </row>
    <row r="8" spans="1:15" ht="15" x14ac:dyDescent="0.2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  <c r="H8" s="175" t="s">
        <v>263</v>
      </c>
      <c r="I8" s="175" t="s">
        <v>282</v>
      </c>
      <c r="J8" s="175" t="s">
        <v>283</v>
      </c>
      <c r="K8" s="175" t="s">
        <v>284</v>
      </c>
      <c r="L8" s="175" t="s">
        <v>312</v>
      </c>
      <c r="M8" s="175" t="s">
        <v>313</v>
      </c>
      <c r="N8" s="175" t="s">
        <v>314</v>
      </c>
      <c r="O8" s="175" t="s">
        <v>315</v>
      </c>
    </row>
    <row r="9" spans="1:15" x14ac:dyDescent="0.2">
      <c r="A9" s="17">
        <v>1</v>
      </c>
      <c r="B9" s="176" t="s">
        <v>896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">
      <c r="A10" s="17">
        <v>2</v>
      </c>
      <c r="B10" s="176" t="s">
        <v>897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">
      <c r="A11" s="17">
        <v>3</v>
      </c>
      <c r="B11" s="176" t="s">
        <v>898</v>
      </c>
      <c r="C11" s="9"/>
      <c r="D11" s="9"/>
      <c r="E11" s="9"/>
      <c r="F11" s="455"/>
      <c r="G11" s="455"/>
      <c r="H11" s="455"/>
      <c r="I11" s="455"/>
      <c r="J11" s="455"/>
      <c r="K11" s="455"/>
      <c r="L11" s="455"/>
      <c r="M11" s="455"/>
      <c r="N11" s="455"/>
      <c r="O11" s="9"/>
    </row>
    <row r="12" spans="1:15" x14ac:dyDescent="0.2">
      <c r="A12" s="17">
        <v>4</v>
      </c>
      <c r="B12" s="176" t="s">
        <v>899</v>
      </c>
      <c r="C12" s="9"/>
      <c r="D12" s="9"/>
      <c r="E12" s="9"/>
      <c r="F12" s="455"/>
      <c r="G12" s="455"/>
      <c r="H12" s="455"/>
      <c r="I12" s="455"/>
      <c r="J12" s="455"/>
      <c r="K12" s="455"/>
      <c r="L12" s="455"/>
      <c r="M12" s="455"/>
      <c r="N12" s="455"/>
      <c r="O12" s="9"/>
    </row>
    <row r="13" spans="1:15" x14ac:dyDescent="0.2">
      <c r="A13" s="17">
        <v>5</v>
      </c>
      <c r="B13" s="176" t="s">
        <v>900</v>
      </c>
      <c r="C13" s="9"/>
      <c r="D13" s="9"/>
      <c r="E13" s="9"/>
      <c r="F13" s="455"/>
      <c r="G13" s="455"/>
      <c r="H13" s="455"/>
      <c r="I13" s="455"/>
      <c r="J13" s="455"/>
      <c r="K13" s="455"/>
      <c r="L13" s="455"/>
      <c r="M13" s="455"/>
      <c r="N13" s="455"/>
      <c r="O13" s="9"/>
    </row>
    <row r="14" spans="1:15" ht="15" x14ac:dyDescent="0.2">
      <c r="A14" s="17">
        <v>6</v>
      </c>
      <c r="B14" s="176" t="s">
        <v>901</v>
      </c>
      <c r="C14" s="406">
        <v>1</v>
      </c>
      <c r="D14" s="407" t="s">
        <v>962</v>
      </c>
      <c r="E14" s="406">
        <v>297</v>
      </c>
      <c r="F14" s="456">
        <v>20972</v>
      </c>
      <c r="G14" s="457" t="s">
        <v>963</v>
      </c>
      <c r="H14" s="458">
        <v>979.18</v>
      </c>
      <c r="I14" s="458">
        <v>750.39800000000002</v>
      </c>
      <c r="J14" s="458">
        <v>262.21780999999999</v>
      </c>
      <c r="K14" s="458">
        <v>177.10861</v>
      </c>
      <c r="L14" s="456">
        <v>70.56</v>
      </c>
      <c r="M14" s="456">
        <v>70.56</v>
      </c>
      <c r="N14" s="458">
        <v>3.8640400000000001</v>
      </c>
      <c r="O14" s="406">
        <v>0</v>
      </c>
    </row>
    <row r="15" spans="1:15" ht="15" x14ac:dyDescent="0.2">
      <c r="A15" s="17">
        <v>7</v>
      </c>
      <c r="B15" s="176" t="s">
        <v>902</v>
      </c>
      <c r="C15" s="406"/>
      <c r="D15" s="407"/>
      <c r="E15" s="406"/>
      <c r="F15" s="456"/>
      <c r="G15" s="457"/>
      <c r="H15" s="458"/>
      <c r="I15" s="458"/>
      <c r="J15" s="458"/>
      <c r="K15" s="458"/>
      <c r="L15" s="456"/>
      <c r="M15" s="456"/>
      <c r="N15" s="456"/>
      <c r="O15" s="406"/>
    </row>
    <row r="16" spans="1:15" x14ac:dyDescent="0.2">
      <c r="A16" s="17">
        <v>8</v>
      </c>
      <c r="B16" s="176" t="s">
        <v>903</v>
      </c>
      <c r="C16" s="9"/>
      <c r="D16" s="9"/>
      <c r="E16" s="9"/>
      <c r="F16" s="455"/>
      <c r="G16" s="455"/>
      <c r="H16" s="455"/>
      <c r="I16" s="455"/>
      <c r="J16" s="455"/>
      <c r="K16" s="455"/>
      <c r="L16" s="455"/>
      <c r="M16" s="455"/>
      <c r="N16" s="455"/>
      <c r="O16" s="9"/>
    </row>
    <row r="17" spans="1:15" x14ac:dyDescent="0.2">
      <c r="A17" s="17">
        <v>9</v>
      </c>
      <c r="B17" s="176" t="s">
        <v>904</v>
      </c>
      <c r="C17" s="9"/>
      <c r="D17" s="9"/>
      <c r="E17" s="9"/>
      <c r="F17" s="455"/>
      <c r="G17" s="455"/>
      <c r="H17" s="455"/>
      <c r="I17" s="455"/>
      <c r="J17" s="455"/>
      <c r="K17" s="455"/>
      <c r="L17" s="455"/>
      <c r="M17" s="455"/>
      <c r="N17" s="455"/>
      <c r="O17" s="9"/>
    </row>
    <row r="18" spans="1:15" x14ac:dyDescent="0.2">
      <c r="A18" s="17">
        <v>10</v>
      </c>
      <c r="B18" s="176" t="s">
        <v>905</v>
      </c>
      <c r="C18" s="9"/>
      <c r="D18" s="9"/>
      <c r="E18" s="9"/>
      <c r="F18" s="455"/>
      <c r="G18" s="455"/>
      <c r="H18" s="455"/>
      <c r="I18" s="455"/>
      <c r="J18" s="455"/>
      <c r="K18" s="455"/>
      <c r="L18" s="455"/>
      <c r="M18" s="455"/>
      <c r="N18" s="455"/>
      <c r="O18" s="9"/>
    </row>
    <row r="19" spans="1:15" x14ac:dyDescent="0.2">
      <c r="A19" s="17">
        <v>11</v>
      </c>
      <c r="B19" s="176" t="s">
        <v>906</v>
      </c>
      <c r="C19" s="9"/>
      <c r="D19" s="9"/>
      <c r="E19" s="9"/>
      <c r="F19" s="455"/>
      <c r="G19" s="455"/>
      <c r="H19" s="455"/>
      <c r="I19" s="455"/>
      <c r="J19" s="455"/>
      <c r="K19" s="455"/>
      <c r="L19" s="455"/>
      <c r="M19" s="455"/>
      <c r="N19" s="455"/>
      <c r="O19" s="9"/>
    </row>
    <row r="20" spans="1:15" x14ac:dyDescent="0.2">
      <c r="A20" s="17">
        <v>12</v>
      </c>
      <c r="B20" s="269" t="s">
        <v>907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">
      <c r="A21" s="17">
        <v>13</v>
      </c>
      <c r="B21" s="176" t="s">
        <v>908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17">
        <v>14</v>
      </c>
      <c r="B22" s="176" t="s">
        <v>909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">
      <c r="A23" s="17">
        <v>15</v>
      </c>
      <c r="B23" s="176" t="s">
        <v>910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">
      <c r="A24" s="17">
        <v>16</v>
      </c>
      <c r="B24" s="176" t="s">
        <v>911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6.5" customHeight="1" x14ac:dyDescent="0.2">
      <c r="A25" s="17">
        <v>17</v>
      </c>
      <c r="B25" s="176" t="s">
        <v>912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">
      <c r="A26" s="17">
        <v>18</v>
      </c>
      <c r="B26" s="176" t="s">
        <v>913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">
      <c r="A27" s="17">
        <v>19</v>
      </c>
      <c r="B27" s="176" t="s">
        <v>914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">
      <c r="A28" s="17">
        <v>20</v>
      </c>
      <c r="B28" s="176" t="s">
        <v>915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">
      <c r="A29" s="17">
        <v>21</v>
      </c>
      <c r="B29" s="176" t="s">
        <v>916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">
      <c r="A30" s="17">
        <v>22</v>
      </c>
      <c r="B30" s="176" t="s">
        <v>917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">
      <c r="A31" s="17">
        <v>23</v>
      </c>
      <c r="B31" s="176" t="s">
        <v>918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">
      <c r="A32" s="17">
        <v>24</v>
      </c>
      <c r="B32" s="18" t="s">
        <v>919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">
      <c r="A33" s="642"/>
      <c r="B33" s="2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642"/>
    </row>
    <row r="35" spans="1:15" x14ac:dyDescent="0.2">
      <c r="A35" s="642" t="s">
        <v>22</v>
      </c>
    </row>
    <row r="36" spans="1:15" x14ac:dyDescent="0.2">
      <c r="A36" s="642"/>
      <c r="I36" s="821"/>
      <c r="J36" s="821"/>
      <c r="K36" s="469"/>
      <c r="L36" s="821" t="s">
        <v>12</v>
      </c>
      <c r="M36" s="821"/>
      <c r="N36" s="469"/>
    </row>
    <row r="37" spans="1:15" ht="12.75" customHeight="1" x14ac:dyDescent="0.2">
      <c r="I37" s="821"/>
      <c r="J37" s="821"/>
      <c r="K37" s="821"/>
      <c r="L37" s="821" t="s">
        <v>13</v>
      </c>
      <c r="M37" s="821"/>
      <c r="N37" s="821"/>
    </row>
    <row r="38" spans="1:15" ht="12.75" customHeight="1" x14ac:dyDescent="0.2">
      <c r="I38" s="821"/>
      <c r="J38" s="821"/>
      <c r="K38" s="821"/>
      <c r="L38" s="821" t="s">
        <v>19</v>
      </c>
      <c r="M38" s="821"/>
      <c r="N38" s="821"/>
      <c r="O38" s="821"/>
    </row>
    <row r="39" spans="1:15" x14ac:dyDescent="0.2">
      <c r="I39" s="33"/>
      <c r="J39" s="469"/>
      <c r="K39" s="469"/>
      <c r="L39" s="33" t="s">
        <v>23</v>
      </c>
      <c r="M39" s="469"/>
      <c r="N39" s="469"/>
    </row>
  </sheetData>
  <mergeCells count="21">
    <mergeCell ref="I36:J36"/>
    <mergeCell ref="I37:K37"/>
    <mergeCell ref="I38:K38"/>
    <mergeCell ref="L36:M36"/>
    <mergeCell ref="L37:N37"/>
    <mergeCell ref="L38:O38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</mergeCells>
  <printOptions horizontalCentered="1"/>
  <pageMargins left="0.70866141732283472" right="0.2" top="0.23622047244094491" bottom="0" header="0.31496062992125984" footer="0.31496062992125984"/>
  <pageSetup paperSize="9" scale="8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P44"/>
  <sheetViews>
    <sheetView topLeftCell="A13" zoomScaleSheetLayoutView="90" workbookViewId="0">
      <selection activeCell="C29" sqref="C29"/>
    </sheetView>
  </sheetViews>
  <sheetFormatPr defaultColWidth="9.140625" defaultRowHeight="12.75" x14ac:dyDescent="0.2"/>
  <cols>
    <col min="1" max="1" width="8.5703125" style="178" customWidth="1"/>
    <col min="2" max="2" width="15.28515625" style="178" bestFit="1" customWidth="1"/>
    <col min="3" max="3" width="12" style="178" customWidth="1"/>
    <col min="4" max="4" width="15.140625" style="178" customWidth="1"/>
    <col min="5" max="13" width="9.5703125" style="178" customWidth="1"/>
    <col min="14" max="15" width="11.42578125" style="178" customWidth="1"/>
    <col min="16" max="16" width="11.28515625" style="178" customWidth="1"/>
    <col min="17" max="16384" width="9.140625" style="178"/>
  </cols>
  <sheetData>
    <row r="1" spans="1:16" x14ac:dyDescent="0.2">
      <c r="H1" s="917"/>
      <c r="I1" s="917"/>
      <c r="O1" s="181" t="s">
        <v>522</v>
      </c>
    </row>
    <row r="2" spans="1:16" x14ac:dyDescent="0.2">
      <c r="D2" s="917" t="s">
        <v>475</v>
      </c>
      <c r="E2" s="917"/>
      <c r="F2" s="917"/>
      <c r="G2" s="917"/>
      <c r="H2" s="180"/>
      <c r="I2" s="180"/>
      <c r="L2" s="181"/>
    </row>
    <row r="3" spans="1:16" s="182" customFormat="1" ht="15.75" x14ac:dyDescent="0.25">
      <c r="A3" s="1079" t="s">
        <v>744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</row>
    <row r="4" spans="1:16" s="182" customFormat="1" ht="20.25" customHeight="1" x14ac:dyDescent="0.25">
      <c r="A4" s="1079" t="s">
        <v>865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</row>
    <row r="6" spans="1:16" x14ac:dyDescent="0.2">
      <c r="A6" s="183" t="s">
        <v>920</v>
      </c>
      <c r="B6" s="184"/>
      <c r="C6" s="185"/>
      <c r="D6" s="185"/>
      <c r="E6" s="185"/>
      <c r="F6" s="185"/>
      <c r="G6" s="185"/>
      <c r="H6" s="185"/>
      <c r="I6" s="185"/>
      <c r="J6" s="185"/>
    </row>
    <row r="8" spans="1:16" s="186" customFormat="1" ht="15" customHeight="1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927" t="s">
        <v>830</v>
      </c>
      <c r="L8" s="927"/>
      <c r="M8" s="927"/>
      <c r="N8" s="927"/>
      <c r="O8" s="927"/>
      <c r="P8" s="927"/>
    </row>
    <row r="9" spans="1:16" s="186" customFormat="1" ht="20.25" customHeight="1" x14ac:dyDescent="0.2">
      <c r="A9" s="1076" t="s">
        <v>2</v>
      </c>
      <c r="B9" s="1076" t="s">
        <v>3</v>
      </c>
      <c r="C9" s="1015" t="s">
        <v>265</v>
      </c>
      <c r="D9" s="1015" t="s">
        <v>266</v>
      </c>
      <c r="E9" s="1078" t="s">
        <v>267</v>
      </c>
      <c r="F9" s="1078"/>
      <c r="G9" s="1078"/>
      <c r="H9" s="1078"/>
      <c r="I9" s="1078"/>
      <c r="J9" s="1078"/>
      <c r="K9" s="1078"/>
      <c r="L9" s="1078"/>
      <c r="M9" s="1078"/>
      <c r="N9" s="1078"/>
      <c r="O9" s="1078"/>
      <c r="P9" s="1078"/>
    </row>
    <row r="10" spans="1:16" s="186" customFormat="1" ht="35.25" customHeight="1" x14ac:dyDescent="0.2">
      <c r="A10" s="1080"/>
      <c r="B10" s="1080"/>
      <c r="C10" s="1016"/>
      <c r="D10" s="1016"/>
      <c r="E10" s="229" t="s">
        <v>823</v>
      </c>
      <c r="F10" s="229" t="s">
        <v>268</v>
      </c>
      <c r="G10" s="229" t="s">
        <v>269</v>
      </c>
      <c r="H10" s="229" t="s">
        <v>270</v>
      </c>
      <c r="I10" s="229" t="s">
        <v>271</v>
      </c>
      <c r="J10" s="229" t="s">
        <v>272</v>
      </c>
      <c r="K10" s="229" t="s">
        <v>273</v>
      </c>
      <c r="L10" s="229" t="s">
        <v>274</v>
      </c>
      <c r="M10" s="229" t="s">
        <v>824</v>
      </c>
      <c r="N10" s="199" t="s">
        <v>825</v>
      </c>
      <c r="O10" s="199" t="s">
        <v>826</v>
      </c>
      <c r="P10" s="199" t="s">
        <v>827</v>
      </c>
    </row>
    <row r="11" spans="1:16" s="186" customFormat="1" ht="12.75" customHeight="1" x14ac:dyDescent="0.2">
      <c r="A11" s="189">
        <v>1</v>
      </c>
      <c r="B11" s="189">
        <v>2</v>
      </c>
      <c r="C11" s="189">
        <v>3</v>
      </c>
      <c r="D11" s="189">
        <v>4</v>
      </c>
      <c r="E11" s="189">
        <v>5</v>
      </c>
      <c r="F11" s="189">
        <v>6</v>
      </c>
      <c r="G11" s="189">
        <v>7</v>
      </c>
      <c r="H11" s="189">
        <v>8</v>
      </c>
      <c r="I11" s="189">
        <v>9</v>
      </c>
      <c r="J11" s="189">
        <v>10</v>
      </c>
      <c r="K11" s="189">
        <v>11</v>
      </c>
      <c r="L11" s="189">
        <v>12</v>
      </c>
      <c r="M11" s="189">
        <v>13</v>
      </c>
      <c r="N11" s="189">
        <v>14</v>
      </c>
      <c r="O11" s="189">
        <v>15</v>
      </c>
      <c r="P11" s="189">
        <v>16</v>
      </c>
    </row>
    <row r="12" spans="1:16" customFormat="1" ht="15" x14ac:dyDescent="0.25">
      <c r="A12" s="17">
        <v>1</v>
      </c>
      <c r="B12" s="176" t="s">
        <v>896</v>
      </c>
      <c r="C12" s="317">
        <v>2177</v>
      </c>
      <c r="D12" s="317">
        <v>2164</v>
      </c>
      <c r="E12" s="317">
        <v>2164</v>
      </c>
      <c r="F12" s="317">
        <v>2164</v>
      </c>
      <c r="G12" s="317">
        <v>2164</v>
      </c>
      <c r="H12" s="317">
        <v>2164</v>
      </c>
      <c r="I12" s="317">
        <v>2164</v>
      </c>
      <c r="J12" s="317">
        <v>2164</v>
      </c>
      <c r="K12" s="317">
        <v>2164</v>
      </c>
      <c r="L12" s="317">
        <v>2164</v>
      </c>
      <c r="M12" s="317">
        <v>2164</v>
      </c>
      <c r="N12" s="9"/>
      <c r="O12" s="9"/>
      <c r="P12" s="9"/>
    </row>
    <row r="13" spans="1:16" customFormat="1" ht="15" x14ac:dyDescent="0.25">
      <c r="A13" s="17">
        <v>2</v>
      </c>
      <c r="B13" s="176" t="s">
        <v>897</v>
      </c>
      <c r="C13" s="317">
        <v>868</v>
      </c>
      <c r="D13" s="317">
        <v>870</v>
      </c>
      <c r="E13" s="317">
        <v>870</v>
      </c>
      <c r="F13" s="317">
        <v>870</v>
      </c>
      <c r="G13" s="317">
        <v>870</v>
      </c>
      <c r="H13" s="317">
        <v>870</v>
      </c>
      <c r="I13" s="317">
        <v>870</v>
      </c>
      <c r="J13" s="317">
        <v>870</v>
      </c>
      <c r="K13" s="317">
        <v>870</v>
      </c>
      <c r="L13" s="317">
        <v>870</v>
      </c>
      <c r="M13" s="317">
        <v>870</v>
      </c>
      <c r="N13" s="9"/>
      <c r="O13" s="9"/>
      <c r="P13" s="9"/>
    </row>
    <row r="14" spans="1:16" customFormat="1" ht="15" x14ac:dyDescent="0.25">
      <c r="A14" s="17">
        <v>3</v>
      </c>
      <c r="B14" s="176" t="s">
        <v>898</v>
      </c>
      <c r="C14" s="317">
        <v>491</v>
      </c>
      <c r="D14" s="317">
        <v>491</v>
      </c>
      <c r="E14" s="317">
        <v>491</v>
      </c>
      <c r="F14" s="317">
        <v>491</v>
      </c>
      <c r="G14" s="317">
        <v>491</v>
      </c>
      <c r="H14" s="317">
        <v>491</v>
      </c>
      <c r="I14" s="317">
        <v>491</v>
      </c>
      <c r="J14" s="317">
        <v>491</v>
      </c>
      <c r="K14" s="317">
        <v>491</v>
      </c>
      <c r="L14" s="317">
        <v>491</v>
      </c>
      <c r="M14" s="317">
        <v>491</v>
      </c>
      <c r="N14" s="9"/>
      <c r="O14" s="9"/>
      <c r="P14" s="9"/>
    </row>
    <row r="15" spans="1:16" customFormat="1" ht="15" x14ac:dyDescent="0.25">
      <c r="A15" s="318">
        <v>4</v>
      </c>
      <c r="B15" s="319" t="s">
        <v>899</v>
      </c>
      <c r="C15" s="317">
        <v>1519</v>
      </c>
      <c r="D15" s="317">
        <v>1524</v>
      </c>
      <c r="E15" s="317">
        <v>1523</v>
      </c>
      <c r="F15" s="317">
        <v>1523</v>
      </c>
      <c r="G15" s="317">
        <v>1523</v>
      </c>
      <c r="H15" s="317">
        <v>1523</v>
      </c>
      <c r="I15" s="317">
        <v>1523</v>
      </c>
      <c r="J15" s="317">
        <v>1523</v>
      </c>
      <c r="K15" s="317">
        <v>1523</v>
      </c>
      <c r="L15" s="317">
        <v>1523</v>
      </c>
      <c r="M15" s="317">
        <v>1523</v>
      </c>
      <c r="N15" s="320"/>
      <c r="O15" s="320"/>
      <c r="P15" s="320"/>
    </row>
    <row r="16" spans="1:16" customFormat="1" ht="15" x14ac:dyDescent="0.25">
      <c r="A16" s="17">
        <v>5</v>
      </c>
      <c r="B16" s="176" t="s">
        <v>900</v>
      </c>
      <c r="C16" s="317">
        <v>968</v>
      </c>
      <c r="D16" s="317">
        <v>968</v>
      </c>
      <c r="E16" s="317">
        <v>968</v>
      </c>
      <c r="F16" s="317">
        <v>968</v>
      </c>
      <c r="G16" s="317">
        <v>968</v>
      </c>
      <c r="H16" s="317">
        <v>968</v>
      </c>
      <c r="I16" s="317">
        <v>968</v>
      </c>
      <c r="J16" s="317">
        <v>968</v>
      </c>
      <c r="K16" s="317">
        <v>968</v>
      </c>
      <c r="L16" s="317">
        <v>968</v>
      </c>
      <c r="M16" s="317">
        <v>968</v>
      </c>
      <c r="N16" s="9"/>
      <c r="O16" s="9"/>
      <c r="P16" s="9"/>
    </row>
    <row r="17" spans="1:16" customFormat="1" ht="15" x14ac:dyDescent="0.25">
      <c r="A17" s="17">
        <v>6</v>
      </c>
      <c r="B17" s="176" t="s">
        <v>901</v>
      </c>
      <c r="C17" s="317">
        <v>1621</v>
      </c>
      <c r="D17" s="317">
        <v>1620</v>
      </c>
      <c r="E17" s="317">
        <v>1619</v>
      </c>
      <c r="F17" s="317">
        <v>1619</v>
      </c>
      <c r="G17" s="317">
        <v>1619</v>
      </c>
      <c r="H17" s="317">
        <v>1619</v>
      </c>
      <c r="I17" s="317">
        <v>1619</v>
      </c>
      <c r="J17" s="317">
        <v>1619</v>
      </c>
      <c r="K17" s="317">
        <v>1619</v>
      </c>
      <c r="L17" s="317">
        <v>1619</v>
      </c>
      <c r="M17" s="317">
        <v>1619</v>
      </c>
      <c r="N17" s="9"/>
      <c r="O17" s="9"/>
      <c r="P17" s="9"/>
    </row>
    <row r="18" spans="1:16" customFormat="1" ht="15" x14ac:dyDescent="0.25">
      <c r="A18" s="17">
        <v>7</v>
      </c>
      <c r="B18" s="176" t="s">
        <v>902</v>
      </c>
      <c r="C18" s="317">
        <v>1381</v>
      </c>
      <c r="D18" s="317">
        <v>1368</v>
      </c>
      <c r="E18" s="317">
        <v>1365</v>
      </c>
      <c r="F18" s="317">
        <v>1365</v>
      </c>
      <c r="G18" s="317">
        <v>1365</v>
      </c>
      <c r="H18" s="317">
        <v>1364</v>
      </c>
      <c r="I18" s="317">
        <v>1364</v>
      </c>
      <c r="J18" s="317">
        <v>1364</v>
      </c>
      <c r="K18" s="317">
        <v>1361</v>
      </c>
      <c r="L18" s="317">
        <v>1360</v>
      </c>
      <c r="M18" s="317">
        <v>1357</v>
      </c>
      <c r="N18" s="9"/>
      <c r="O18" s="9"/>
      <c r="P18" s="9"/>
    </row>
    <row r="19" spans="1:16" customFormat="1" ht="15" x14ac:dyDescent="0.25">
      <c r="A19" s="17">
        <v>8</v>
      </c>
      <c r="B19" s="176" t="s">
        <v>903</v>
      </c>
      <c r="C19" s="317">
        <v>2066</v>
      </c>
      <c r="D19" s="317">
        <v>2066</v>
      </c>
      <c r="E19" s="317">
        <v>2066</v>
      </c>
      <c r="F19" s="317">
        <v>2066</v>
      </c>
      <c r="G19" s="317">
        <v>2066</v>
      </c>
      <c r="H19" s="317">
        <v>2066</v>
      </c>
      <c r="I19" s="317">
        <v>2066</v>
      </c>
      <c r="J19" s="317">
        <v>2066</v>
      </c>
      <c r="K19" s="317">
        <v>2066</v>
      </c>
      <c r="L19" s="317">
        <v>2066</v>
      </c>
      <c r="M19" s="317">
        <v>2066</v>
      </c>
      <c r="N19" s="9"/>
      <c r="O19" s="9"/>
      <c r="P19" s="9"/>
    </row>
    <row r="20" spans="1:16" customFormat="1" ht="15" x14ac:dyDescent="0.25">
      <c r="A20" s="17">
        <v>9</v>
      </c>
      <c r="B20" s="176" t="s">
        <v>904</v>
      </c>
      <c r="C20" s="317">
        <v>2499</v>
      </c>
      <c r="D20" s="317">
        <v>2499</v>
      </c>
      <c r="E20" s="317">
        <v>2499</v>
      </c>
      <c r="F20" s="317">
        <v>2499</v>
      </c>
      <c r="G20" s="317">
        <v>2499</v>
      </c>
      <c r="H20" s="317">
        <v>2499</v>
      </c>
      <c r="I20" s="317">
        <v>2499</v>
      </c>
      <c r="J20" s="317">
        <v>2499</v>
      </c>
      <c r="K20" s="317">
        <v>2499</v>
      </c>
      <c r="L20" s="317">
        <v>2499</v>
      </c>
      <c r="M20" s="317">
        <v>2161</v>
      </c>
      <c r="N20" s="9"/>
      <c r="O20" s="9"/>
      <c r="P20" s="9"/>
    </row>
    <row r="21" spans="1:16" customFormat="1" ht="15" x14ac:dyDescent="0.25">
      <c r="A21" s="17">
        <v>10</v>
      </c>
      <c r="B21" s="176" t="s">
        <v>905</v>
      </c>
      <c r="C21" s="317">
        <v>1037</v>
      </c>
      <c r="D21" s="317">
        <v>1039</v>
      </c>
      <c r="E21" s="317">
        <v>1039</v>
      </c>
      <c r="F21" s="317">
        <v>1039</v>
      </c>
      <c r="G21" s="317">
        <v>1039</v>
      </c>
      <c r="H21" s="317">
        <v>1039</v>
      </c>
      <c r="I21" s="317">
        <v>1039</v>
      </c>
      <c r="J21" s="317">
        <v>1039</v>
      </c>
      <c r="K21" s="317">
        <v>1037</v>
      </c>
      <c r="L21" s="317">
        <v>1037</v>
      </c>
      <c r="M21" s="317">
        <v>1037</v>
      </c>
      <c r="N21" s="9"/>
      <c r="O21" s="9"/>
      <c r="P21" s="9"/>
    </row>
    <row r="22" spans="1:16" customFormat="1" ht="15" x14ac:dyDescent="0.25">
      <c r="A22" s="17">
        <v>11</v>
      </c>
      <c r="B22" s="176" t="s">
        <v>906</v>
      </c>
      <c r="C22" s="317">
        <v>1420</v>
      </c>
      <c r="D22" s="317">
        <v>1419</v>
      </c>
      <c r="E22" s="317">
        <v>1419</v>
      </c>
      <c r="F22" s="317">
        <v>1419</v>
      </c>
      <c r="G22" s="317">
        <v>1419</v>
      </c>
      <c r="H22" s="317">
        <v>1419</v>
      </c>
      <c r="I22" s="317">
        <v>1419</v>
      </c>
      <c r="J22" s="317">
        <v>1419</v>
      </c>
      <c r="K22" s="317">
        <v>1419</v>
      </c>
      <c r="L22" s="317">
        <v>1419</v>
      </c>
      <c r="M22" s="317">
        <v>1419</v>
      </c>
      <c r="N22" s="9"/>
      <c r="O22" s="9"/>
      <c r="P22" s="9"/>
    </row>
    <row r="23" spans="1:16" customFormat="1" ht="15" x14ac:dyDescent="0.25">
      <c r="A23" s="17">
        <v>12</v>
      </c>
      <c r="B23" s="269" t="s">
        <v>907</v>
      </c>
      <c r="C23" s="317">
        <v>1479</v>
      </c>
      <c r="D23" s="317">
        <v>1481</v>
      </c>
      <c r="E23" s="317">
        <v>1475</v>
      </c>
      <c r="F23" s="317">
        <v>1475</v>
      </c>
      <c r="G23" s="317">
        <v>1475</v>
      </c>
      <c r="H23" s="317">
        <v>1475</v>
      </c>
      <c r="I23" s="317">
        <v>1475</v>
      </c>
      <c r="J23" s="317">
        <v>1475</v>
      </c>
      <c r="K23" s="317">
        <v>1475</v>
      </c>
      <c r="L23" s="317">
        <v>1475</v>
      </c>
      <c r="M23" s="317">
        <v>1475</v>
      </c>
      <c r="N23" s="9"/>
      <c r="O23" s="9"/>
      <c r="P23" s="9"/>
    </row>
    <row r="24" spans="1:16" customFormat="1" ht="15" x14ac:dyDescent="0.25">
      <c r="A24" s="17">
        <v>13</v>
      </c>
      <c r="B24" s="176" t="s">
        <v>908</v>
      </c>
      <c r="C24" s="317">
        <v>587</v>
      </c>
      <c r="D24" s="317">
        <v>585</v>
      </c>
      <c r="E24" s="317">
        <v>585</v>
      </c>
      <c r="F24" s="317">
        <v>585</v>
      </c>
      <c r="G24" s="317">
        <v>585</v>
      </c>
      <c r="H24" s="317">
        <v>585</v>
      </c>
      <c r="I24" s="317">
        <v>585</v>
      </c>
      <c r="J24" s="317">
        <v>585</v>
      </c>
      <c r="K24" s="317">
        <v>584</v>
      </c>
      <c r="L24" s="317">
        <v>581</v>
      </c>
      <c r="M24" s="317">
        <v>578</v>
      </c>
      <c r="N24" s="9"/>
      <c r="O24" s="9"/>
      <c r="P24" s="9"/>
    </row>
    <row r="25" spans="1:16" customFormat="1" ht="15" x14ac:dyDescent="0.25">
      <c r="A25" s="17">
        <v>14</v>
      </c>
      <c r="B25" s="176" t="s">
        <v>909</v>
      </c>
      <c r="C25" s="317">
        <v>659</v>
      </c>
      <c r="D25" s="317">
        <v>655</v>
      </c>
      <c r="E25" s="317">
        <v>654</v>
      </c>
      <c r="F25" s="317">
        <v>654</v>
      </c>
      <c r="G25" s="317">
        <v>654</v>
      </c>
      <c r="H25" s="317">
        <v>654</v>
      </c>
      <c r="I25" s="317">
        <v>654</v>
      </c>
      <c r="J25" s="317">
        <v>654</v>
      </c>
      <c r="K25" s="317">
        <v>654</v>
      </c>
      <c r="L25" s="317">
        <v>654</v>
      </c>
      <c r="M25" s="317">
        <v>654</v>
      </c>
      <c r="N25" s="9"/>
      <c r="O25" s="9"/>
      <c r="P25" s="9"/>
    </row>
    <row r="26" spans="1:16" customFormat="1" ht="15" x14ac:dyDescent="0.25">
      <c r="A26" s="17">
        <v>15</v>
      </c>
      <c r="B26" s="176" t="s">
        <v>910</v>
      </c>
      <c r="C26" s="317">
        <v>1539</v>
      </c>
      <c r="D26" s="317">
        <v>1542</v>
      </c>
      <c r="E26" s="317">
        <v>1542</v>
      </c>
      <c r="F26" s="317">
        <v>1542</v>
      </c>
      <c r="G26" s="317">
        <v>1542</v>
      </c>
      <c r="H26" s="317">
        <v>1542</v>
      </c>
      <c r="I26" s="317">
        <v>1542</v>
      </c>
      <c r="J26" s="317">
        <v>1542</v>
      </c>
      <c r="K26" s="317">
        <v>1542</v>
      </c>
      <c r="L26" s="317">
        <v>1542</v>
      </c>
      <c r="M26" s="317">
        <v>1542</v>
      </c>
      <c r="N26" s="9"/>
      <c r="O26" s="9"/>
      <c r="P26" s="9"/>
    </row>
    <row r="27" spans="1:16" customFormat="1" ht="15" x14ac:dyDescent="0.25">
      <c r="A27" s="17">
        <v>16</v>
      </c>
      <c r="B27" s="176" t="s">
        <v>911</v>
      </c>
      <c r="C27" s="317">
        <v>3136</v>
      </c>
      <c r="D27" s="317">
        <v>3135</v>
      </c>
      <c r="E27" s="317">
        <v>3135</v>
      </c>
      <c r="F27" s="317">
        <v>3135</v>
      </c>
      <c r="G27" s="317">
        <v>3135</v>
      </c>
      <c r="H27" s="317">
        <v>3135</v>
      </c>
      <c r="I27" s="317">
        <v>3135</v>
      </c>
      <c r="J27" s="317">
        <v>3135</v>
      </c>
      <c r="K27" s="317">
        <v>3135</v>
      </c>
      <c r="L27" s="317">
        <v>3135</v>
      </c>
      <c r="M27" s="317">
        <v>3135</v>
      </c>
      <c r="N27" s="9"/>
      <c r="O27" s="9"/>
      <c r="P27" s="9"/>
    </row>
    <row r="28" spans="1:16" customFormat="1" ht="16.5" customHeight="1" x14ac:dyDescent="0.25">
      <c r="A28" s="17">
        <v>17</v>
      </c>
      <c r="B28" s="176" t="s">
        <v>912</v>
      </c>
      <c r="C28" s="317">
        <v>1694</v>
      </c>
      <c r="D28" s="317">
        <v>1694</v>
      </c>
      <c r="E28" s="317">
        <v>1694</v>
      </c>
      <c r="F28" s="317">
        <v>1694</v>
      </c>
      <c r="G28" s="317">
        <v>1694</v>
      </c>
      <c r="H28" s="317">
        <v>1694</v>
      </c>
      <c r="I28" s="317">
        <v>1694</v>
      </c>
      <c r="J28" s="317">
        <v>1694</v>
      </c>
      <c r="K28" s="317">
        <v>1694</v>
      </c>
      <c r="L28" s="317">
        <v>1694</v>
      </c>
      <c r="M28" s="317">
        <v>1694</v>
      </c>
      <c r="N28" s="9"/>
      <c r="O28" s="9"/>
      <c r="P28" s="9"/>
    </row>
    <row r="29" spans="1:16" customFormat="1" ht="15" x14ac:dyDescent="0.25">
      <c r="A29" s="17">
        <v>18</v>
      </c>
      <c r="B29" s="176" t="s">
        <v>913</v>
      </c>
      <c r="C29" s="317">
        <v>1522</v>
      </c>
      <c r="D29" s="317">
        <v>1522</v>
      </c>
      <c r="E29" s="317">
        <v>1522</v>
      </c>
      <c r="F29" s="317">
        <v>1522</v>
      </c>
      <c r="G29" s="317">
        <v>1522</v>
      </c>
      <c r="H29" s="317">
        <v>1522</v>
      </c>
      <c r="I29" s="317">
        <v>1522</v>
      </c>
      <c r="J29" s="317">
        <v>1522</v>
      </c>
      <c r="K29" s="317">
        <v>1522</v>
      </c>
      <c r="L29" s="317">
        <v>1522</v>
      </c>
      <c r="M29" s="317">
        <v>1522</v>
      </c>
      <c r="N29" s="9"/>
      <c r="O29" s="9"/>
      <c r="P29" s="9"/>
    </row>
    <row r="30" spans="1:16" customFormat="1" ht="15" x14ac:dyDescent="0.25">
      <c r="A30" s="17">
        <v>19</v>
      </c>
      <c r="B30" s="176" t="s">
        <v>914</v>
      </c>
      <c r="C30" s="317">
        <v>2314</v>
      </c>
      <c r="D30" s="317">
        <v>2308</v>
      </c>
      <c r="E30" s="317">
        <v>2252</v>
      </c>
      <c r="F30" s="317">
        <v>2243</v>
      </c>
      <c r="G30" s="317">
        <v>2237</v>
      </c>
      <c r="H30" s="317">
        <v>2226</v>
      </c>
      <c r="I30" s="317">
        <v>2103</v>
      </c>
      <c r="J30" s="317">
        <v>1981</v>
      </c>
      <c r="K30" s="317">
        <v>1972</v>
      </c>
      <c r="L30" s="317">
        <v>1951</v>
      </c>
      <c r="M30" s="317">
        <v>1741</v>
      </c>
      <c r="N30" s="9"/>
      <c r="O30" s="9"/>
      <c r="P30" s="9"/>
    </row>
    <row r="31" spans="1:16" customFormat="1" ht="15" x14ac:dyDescent="0.25">
      <c r="A31" s="17">
        <v>20</v>
      </c>
      <c r="B31" s="176" t="s">
        <v>915</v>
      </c>
      <c r="C31" s="317">
        <v>1015</v>
      </c>
      <c r="D31" s="317">
        <v>1015</v>
      </c>
      <c r="E31" s="317">
        <v>1015</v>
      </c>
      <c r="F31" s="317">
        <v>1015</v>
      </c>
      <c r="G31" s="317">
        <v>1015</v>
      </c>
      <c r="H31" s="317">
        <v>1015</v>
      </c>
      <c r="I31" s="317">
        <v>1015</v>
      </c>
      <c r="J31" s="317">
        <v>1015</v>
      </c>
      <c r="K31" s="317">
        <v>1015</v>
      </c>
      <c r="L31" s="317">
        <v>1015</v>
      </c>
      <c r="M31" s="317">
        <v>1015</v>
      </c>
      <c r="N31" s="9"/>
      <c r="O31" s="9"/>
      <c r="P31" s="9"/>
    </row>
    <row r="32" spans="1:16" customFormat="1" ht="15" x14ac:dyDescent="0.25">
      <c r="A32" s="17">
        <v>21</v>
      </c>
      <c r="B32" s="176" t="s">
        <v>916</v>
      </c>
      <c r="C32" s="317">
        <v>1286</v>
      </c>
      <c r="D32" s="317">
        <v>1280</v>
      </c>
      <c r="E32" s="317">
        <v>1247</v>
      </c>
      <c r="F32" s="317">
        <v>1246</v>
      </c>
      <c r="G32" s="317">
        <v>1246</v>
      </c>
      <c r="H32" s="317">
        <v>1244</v>
      </c>
      <c r="I32" s="317">
        <v>1242</v>
      </c>
      <c r="J32" s="317">
        <v>1238</v>
      </c>
      <c r="K32" s="317">
        <v>1042</v>
      </c>
      <c r="L32" s="317">
        <v>914</v>
      </c>
      <c r="M32" s="317">
        <v>829</v>
      </c>
      <c r="N32" s="9"/>
      <c r="O32" s="9"/>
      <c r="P32" s="9"/>
    </row>
    <row r="33" spans="1:16" customFormat="1" ht="15" x14ac:dyDescent="0.25">
      <c r="A33" s="17">
        <v>22</v>
      </c>
      <c r="B33" s="176" t="s">
        <v>917</v>
      </c>
      <c r="C33" s="317">
        <v>1011</v>
      </c>
      <c r="D33" s="317">
        <v>1011</v>
      </c>
      <c r="E33" s="317">
        <v>1011</v>
      </c>
      <c r="F33" s="317">
        <v>1011</v>
      </c>
      <c r="G33" s="317">
        <v>1011</v>
      </c>
      <c r="H33" s="317">
        <v>1011</v>
      </c>
      <c r="I33" s="317">
        <v>1011</v>
      </c>
      <c r="J33" s="317">
        <v>1011</v>
      </c>
      <c r="K33" s="317">
        <v>1011</v>
      </c>
      <c r="L33" s="317">
        <v>1011</v>
      </c>
      <c r="M33" s="317">
        <v>1011</v>
      </c>
      <c r="N33" s="9"/>
      <c r="O33" s="9"/>
      <c r="P33" s="9"/>
    </row>
    <row r="34" spans="1:16" customFormat="1" ht="15" x14ac:dyDescent="0.25">
      <c r="A34" s="17">
        <v>23</v>
      </c>
      <c r="B34" s="176" t="s">
        <v>918</v>
      </c>
      <c r="C34" s="317">
        <v>1540</v>
      </c>
      <c r="D34" s="317">
        <v>1540</v>
      </c>
      <c r="E34" s="317">
        <v>1540</v>
      </c>
      <c r="F34" s="317">
        <v>1540</v>
      </c>
      <c r="G34" s="317">
        <v>1540</v>
      </c>
      <c r="H34" s="317">
        <v>1540</v>
      </c>
      <c r="I34" s="317">
        <v>1540</v>
      </c>
      <c r="J34" s="317">
        <v>1540</v>
      </c>
      <c r="K34" s="317">
        <v>1540</v>
      </c>
      <c r="L34" s="317">
        <v>1540</v>
      </c>
      <c r="M34" s="317">
        <v>1540</v>
      </c>
      <c r="N34" s="9"/>
      <c r="O34" s="9"/>
      <c r="P34" s="9"/>
    </row>
    <row r="35" spans="1:16" customFormat="1" ht="15" x14ac:dyDescent="0.25">
      <c r="A35" s="17">
        <v>24</v>
      </c>
      <c r="B35" s="18" t="s">
        <v>919</v>
      </c>
      <c r="C35" s="317">
        <v>1945</v>
      </c>
      <c r="D35" s="317">
        <v>1945</v>
      </c>
      <c r="E35" s="317">
        <v>1944</v>
      </c>
      <c r="F35" s="317">
        <v>1944</v>
      </c>
      <c r="G35" s="317">
        <v>1944</v>
      </c>
      <c r="H35" s="317">
        <v>1944</v>
      </c>
      <c r="I35" s="317">
        <v>1944</v>
      </c>
      <c r="J35" s="317">
        <v>1944</v>
      </c>
      <c r="K35" s="317">
        <v>1944</v>
      </c>
      <c r="L35" s="317">
        <v>1944</v>
      </c>
      <c r="M35">
        <v>1944</v>
      </c>
      <c r="N35" s="9"/>
      <c r="O35" s="9"/>
      <c r="P35" s="9"/>
    </row>
    <row r="36" spans="1:16" x14ac:dyDescent="0.2">
      <c r="A36" s="1081" t="s">
        <v>18</v>
      </c>
      <c r="B36" s="1081"/>
      <c r="C36" s="126">
        <f>SUM(C12:C35)</f>
        <v>35774</v>
      </c>
      <c r="D36" s="126">
        <f t="shared" ref="D36:M36" si="0">SUM(D12:D35)</f>
        <v>35741</v>
      </c>
      <c r="E36" s="126">
        <f t="shared" si="0"/>
        <v>35639</v>
      </c>
      <c r="F36" s="126">
        <f t="shared" si="0"/>
        <v>35629</v>
      </c>
      <c r="G36" s="126">
        <f t="shared" si="0"/>
        <v>35623</v>
      </c>
      <c r="H36" s="126">
        <f t="shared" si="0"/>
        <v>35609</v>
      </c>
      <c r="I36" s="126">
        <f t="shared" si="0"/>
        <v>35484</v>
      </c>
      <c r="J36" s="126">
        <f t="shared" si="0"/>
        <v>35358</v>
      </c>
      <c r="K36" s="126">
        <f t="shared" si="0"/>
        <v>35147</v>
      </c>
      <c r="L36" s="126">
        <f t="shared" si="0"/>
        <v>34994</v>
      </c>
      <c r="M36" s="126">
        <f t="shared" si="0"/>
        <v>34355</v>
      </c>
      <c r="N36" s="126"/>
      <c r="O36" s="126"/>
      <c r="P36" s="126"/>
    </row>
    <row r="40" spans="1:16" x14ac:dyDescent="0.2">
      <c r="A40" s="642" t="s">
        <v>22</v>
      </c>
    </row>
    <row r="41" spans="1:16" x14ac:dyDescent="0.2">
      <c r="M41" s="821" t="s">
        <v>12</v>
      </c>
      <c r="N41" s="821"/>
      <c r="O41" s="469"/>
      <c r="P41"/>
    </row>
    <row r="42" spans="1:16" x14ac:dyDescent="0.2">
      <c r="M42" s="821" t="s">
        <v>13</v>
      </c>
      <c r="N42" s="821"/>
      <c r="O42" s="821"/>
      <c r="P42"/>
    </row>
    <row r="43" spans="1:16" x14ac:dyDescent="0.2">
      <c r="M43" s="842" t="s">
        <v>19</v>
      </c>
      <c r="N43" s="842"/>
      <c r="O43" s="842"/>
      <c r="P43" s="842"/>
    </row>
    <row r="44" spans="1:16" x14ac:dyDescent="0.2">
      <c r="M44" s="33" t="s">
        <v>23</v>
      </c>
      <c r="N44" s="469"/>
      <c r="O44" s="469"/>
      <c r="P44"/>
    </row>
  </sheetData>
  <mergeCells count="14">
    <mergeCell ref="M41:N41"/>
    <mergeCell ref="M42:O42"/>
    <mergeCell ref="M43:P43"/>
    <mergeCell ref="A36:B36"/>
    <mergeCell ref="D9:D10"/>
    <mergeCell ref="K8:P8"/>
    <mergeCell ref="E9:P9"/>
    <mergeCell ref="H1:I1"/>
    <mergeCell ref="A3:M3"/>
    <mergeCell ref="A4:M4"/>
    <mergeCell ref="A9:A10"/>
    <mergeCell ref="B9:B10"/>
    <mergeCell ref="D2:G2"/>
    <mergeCell ref="C9:C10"/>
  </mergeCells>
  <hyperlinks>
    <hyperlink ref="D12" r:id="rId1" display="javascript:__doPostBack('ctl00$ContentPlaceHolder1$Grd_tot_detail$ctl21$lbtnfreezsch','')" xr:uid="{00000000-0004-0000-3300-000000000000}"/>
    <hyperlink ref="E12" r:id="rId2" display="javascript:__doPostBack('ctl00$ContentPlaceHolder1$Grd_tot_detail$ctl21$hypapr','')" xr:uid="{00000000-0004-0000-3300-000001000000}"/>
    <hyperlink ref="F12" r:id="rId3" display="javascript:__doPostBack('ctl00$ContentPlaceHolder1$Grd_tot_detail$ctl21$hypmay','')" xr:uid="{00000000-0004-0000-3300-000002000000}"/>
    <hyperlink ref="G12" r:id="rId4" display="javascript:__doPostBack('ctl00$ContentPlaceHolder1$Grd_tot_detail$ctl21$hypjune','')" xr:uid="{00000000-0004-0000-3300-000003000000}"/>
    <hyperlink ref="H12" r:id="rId5" display="javascript:__doPostBack('ctl00$ContentPlaceHolder1$Grd_tot_detail$ctl21$hypjuly','')" xr:uid="{00000000-0004-0000-3300-000004000000}"/>
    <hyperlink ref="I12" r:id="rId6" display="javascript:__doPostBack('ctl00$ContentPlaceHolder1$Grd_tot_detail$ctl21$hypAugust','')" xr:uid="{00000000-0004-0000-3300-000005000000}"/>
    <hyperlink ref="J12" r:id="rId7" display="javascript:__doPostBack('ctl00$ContentPlaceHolder1$Grd_tot_detail$ctl21$hypSeptember','')" xr:uid="{00000000-0004-0000-3300-000006000000}"/>
    <hyperlink ref="K12" r:id="rId8" display="javascript:__doPostBack('ctl00$ContentPlaceHolder1$Grd_tot_detail$ctl21$hypOcteber','')" xr:uid="{00000000-0004-0000-3300-000007000000}"/>
    <hyperlink ref="L12" r:id="rId9" display="javascript:__doPostBack('ctl00$ContentPlaceHolder1$Grd_tot_detail$ctl21$hypNovember','')" xr:uid="{00000000-0004-0000-3300-000008000000}"/>
    <hyperlink ref="M12" r:id="rId10" display="javascript:__doPostBack('ctl00$ContentPlaceHolder1$Grd_tot_detail$ctl21$hypDecember','')" xr:uid="{00000000-0004-0000-3300-000009000000}"/>
    <hyperlink ref="D13" r:id="rId11" display="javascript:__doPostBack('ctl00$ContentPlaceHolder1$Grd_tot_detail$ctl14$lbtnfreezsch','')" xr:uid="{00000000-0004-0000-3300-00000A000000}"/>
    <hyperlink ref="E13" r:id="rId12" display="javascript:__doPostBack('ctl00$ContentPlaceHolder1$Grd_tot_detail$ctl14$hypapr','')" xr:uid="{00000000-0004-0000-3300-00000B000000}"/>
    <hyperlink ref="F13" r:id="rId13" display="javascript:__doPostBack('ctl00$ContentPlaceHolder1$Grd_tot_detail$ctl14$hypmay','')" xr:uid="{00000000-0004-0000-3300-00000C000000}"/>
    <hyperlink ref="G13" r:id="rId14" display="javascript:__doPostBack('ctl00$ContentPlaceHolder1$Grd_tot_detail$ctl14$hypjune','')" xr:uid="{00000000-0004-0000-3300-00000D000000}"/>
    <hyperlink ref="H13" r:id="rId15" display="javascript:__doPostBack('ctl00$ContentPlaceHolder1$Grd_tot_detail$ctl14$hypjuly','')" xr:uid="{00000000-0004-0000-3300-00000E000000}"/>
    <hyperlink ref="I13" r:id="rId16" display="javascript:__doPostBack('ctl00$ContentPlaceHolder1$Grd_tot_detail$ctl14$hypAugust','')" xr:uid="{00000000-0004-0000-3300-00000F000000}"/>
    <hyperlink ref="J13" r:id="rId17" display="javascript:__doPostBack('ctl00$ContentPlaceHolder1$Grd_tot_detail$ctl14$hypSeptember','')" xr:uid="{00000000-0004-0000-3300-000010000000}"/>
    <hyperlink ref="K13" r:id="rId18" display="javascript:__doPostBack('ctl00$ContentPlaceHolder1$Grd_tot_detail$ctl14$hypOcteber','')" xr:uid="{00000000-0004-0000-3300-000011000000}"/>
    <hyperlink ref="L13" r:id="rId19" display="javascript:__doPostBack('ctl00$ContentPlaceHolder1$Grd_tot_detail$ctl14$hypNovember','')" xr:uid="{00000000-0004-0000-3300-000012000000}"/>
    <hyperlink ref="M13" r:id="rId20" display="javascript:__doPostBack('ctl00$ContentPlaceHolder1$Grd_tot_detail$ctl14$hypDecember','')" xr:uid="{00000000-0004-0000-3300-000013000000}"/>
    <hyperlink ref="D14" r:id="rId21" display="javascript:__doPostBack('ctl00$ContentPlaceHolder1$Grd_tot_detail$ctl17$lbtnfreezsch','')" xr:uid="{00000000-0004-0000-3300-000014000000}"/>
    <hyperlink ref="E14" r:id="rId22" display="javascript:__doPostBack('ctl00$ContentPlaceHolder1$Grd_tot_detail$ctl17$hypapr','')" xr:uid="{00000000-0004-0000-3300-000015000000}"/>
    <hyperlink ref="F14" r:id="rId23" display="javascript:__doPostBack('ctl00$ContentPlaceHolder1$Grd_tot_detail$ctl17$hypmay','')" xr:uid="{00000000-0004-0000-3300-000016000000}"/>
    <hyperlink ref="G14" r:id="rId24" display="javascript:__doPostBack('ctl00$ContentPlaceHolder1$Grd_tot_detail$ctl17$hypjune','')" xr:uid="{00000000-0004-0000-3300-000017000000}"/>
    <hyperlink ref="H14" r:id="rId25" display="javascript:__doPostBack('ctl00$ContentPlaceHolder1$Grd_tot_detail$ctl17$hypjuly','')" xr:uid="{00000000-0004-0000-3300-000018000000}"/>
    <hyperlink ref="I14" r:id="rId26" display="javascript:__doPostBack('ctl00$ContentPlaceHolder1$Grd_tot_detail$ctl17$hypAugust','')" xr:uid="{00000000-0004-0000-3300-000019000000}"/>
    <hyperlink ref="J14" r:id="rId27" display="javascript:__doPostBack('ctl00$ContentPlaceHolder1$Grd_tot_detail$ctl17$hypSeptember','')" xr:uid="{00000000-0004-0000-3300-00001A000000}"/>
    <hyperlink ref="K14" r:id="rId28" display="javascript:__doPostBack('ctl00$ContentPlaceHolder1$Grd_tot_detail$ctl17$hypOcteber','')" xr:uid="{00000000-0004-0000-3300-00001B000000}"/>
    <hyperlink ref="L14" r:id="rId29" display="javascript:__doPostBack('ctl00$ContentPlaceHolder1$Grd_tot_detail$ctl17$hypNovember','')" xr:uid="{00000000-0004-0000-3300-00001C000000}"/>
    <hyperlink ref="M14" r:id="rId30" display="javascript:__doPostBack('ctl00$ContentPlaceHolder1$Grd_tot_detail$ctl17$hypDecember','')" xr:uid="{00000000-0004-0000-3300-00001D000000}"/>
    <hyperlink ref="D15" r:id="rId31" display="javascript:__doPostBack('ctl00$ContentPlaceHolder1$Grd_tot_detail$ctl11$lbtnfreezsch','')" xr:uid="{00000000-0004-0000-3300-00001E000000}"/>
    <hyperlink ref="E15" r:id="rId32" display="javascript:__doPostBack('ctl00$ContentPlaceHolder1$Grd_tot_detail$ctl11$hypapr','')" xr:uid="{00000000-0004-0000-3300-00001F000000}"/>
    <hyperlink ref="F15" r:id="rId33" display="javascript:__doPostBack('ctl00$ContentPlaceHolder1$Grd_tot_detail$ctl11$hypmay','')" xr:uid="{00000000-0004-0000-3300-000020000000}"/>
    <hyperlink ref="G15" r:id="rId34" display="javascript:__doPostBack('ctl00$ContentPlaceHolder1$Grd_tot_detail$ctl11$hypjune','')" xr:uid="{00000000-0004-0000-3300-000021000000}"/>
    <hyperlink ref="H15" r:id="rId35" display="javascript:__doPostBack('ctl00$ContentPlaceHolder1$Grd_tot_detail$ctl11$hypjuly','')" xr:uid="{00000000-0004-0000-3300-000022000000}"/>
    <hyperlink ref="I15" r:id="rId36" display="javascript:__doPostBack('ctl00$ContentPlaceHolder1$Grd_tot_detail$ctl11$hypAugust','')" xr:uid="{00000000-0004-0000-3300-000023000000}"/>
    <hyperlink ref="J15" r:id="rId37" display="javascript:__doPostBack('ctl00$ContentPlaceHolder1$Grd_tot_detail$ctl11$hypSeptember','')" xr:uid="{00000000-0004-0000-3300-000024000000}"/>
    <hyperlink ref="K15" r:id="rId38" display="javascript:__doPostBack('ctl00$ContentPlaceHolder1$Grd_tot_detail$ctl11$hypOcteber','')" xr:uid="{00000000-0004-0000-3300-000025000000}"/>
    <hyperlink ref="L15" r:id="rId39" display="javascript:__doPostBack('ctl00$ContentPlaceHolder1$Grd_tot_detail$ctl11$hypNovember','')" xr:uid="{00000000-0004-0000-3300-000026000000}"/>
    <hyperlink ref="M15" r:id="rId40" display="javascript:__doPostBack('ctl00$ContentPlaceHolder1$Grd_tot_detail$ctl11$hypDecember','')" xr:uid="{00000000-0004-0000-3300-000027000000}"/>
    <hyperlink ref="D16" r:id="rId41" display="javascript:__doPostBack('ctl00$ContentPlaceHolder1$Grd_tot_detail$ctl24$lbtnfreezsch','')" xr:uid="{00000000-0004-0000-3300-000028000000}"/>
    <hyperlink ref="E16" r:id="rId42" display="javascript:__doPostBack('ctl00$ContentPlaceHolder1$Grd_tot_detail$ctl24$hypapr','')" xr:uid="{00000000-0004-0000-3300-000029000000}"/>
    <hyperlink ref="F16" r:id="rId43" display="javascript:__doPostBack('ctl00$ContentPlaceHolder1$Grd_tot_detail$ctl24$hypmay','')" xr:uid="{00000000-0004-0000-3300-00002A000000}"/>
    <hyperlink ref="G16" r:id="rId44" display="javascript:__doPostBack('ctl00$ContentPlaceHolder1$Grd_tot_detail$ctl24$hypjune','')" xr:uid="{00000000-0004-0000-3300-00002B000000}"/>
    <hyperlink ref="H16" r:id="rId45" display="javascript:__doPostBack('ctl00$ContentPlaceHolder1$Grd_tot_detail$ctl24$hypjuly','')" xr:uid="{00000000-0004-0000-3300-00002C000000}"/>
    <hyperlink ref="I16" r:id="rId46" display="javascript:__doPostBack('ctl00$ContentPlaceHolder1$Grd_tot_detail$ctl24$hypAugust','')" xr:uid="{00000000-0004-0000-3300-00002D000000}"/>
    <hyperlink ref="J16" r:id="rId47" display="javascript:__doPostBack('ctl00$ContentPlaceHolder1$Grd_tot_detail$ctl24$hypSeptember','')" xr:uid="{00000000-0004-0000-3300-00002E000000}"/>
    <hyperlink ref="K16" r:id="rId48" display="javascript:__doPostBack('ctl00$ContentPlaceHolder1$Grd_tot_detail$ctl24$hypOcteber','')" xr:uid="{00000000-0004-0000-3300-00002F000000}"/>
    <hyperlink ref="L16" r:id="rId49" display="javascript:__doPostBack('ctl00$ContentPlaceHolder1$Grd_tot_detail$ctl24$hypNovember','')" xr:uid="{00000000-0004-0000-3300-000030000000}"/>
    <hyperlink ref="M16" r:id="rId50" display="javascript:__doPostBack('ctl00$ContentPlaceHolder1$Grd_tot_detail$ctl24$hypDecember','')" xr:uid="{00000000-0004-0000-3300-000031000000}"/>
    <hyperlink ref="D17" r:id="rId51" display="javascript:__doPostBack('ctl00$ContentPlaceHolder1$Grd_tot_detail$ctl07$lbtnfreezsch','')" xr:uid="{00000000-0004-0000-3300-000032000000}"/>
    <hyperlink ref="E17" r:id="rId52" display="javascript:__doPostBack('ctl00$ContentPlaceHolder1$Grd_tot_detail$ctl07$hypapr','')" xr:uid="{00000000-0004-0000-3300-000033000000}"/>
    <hyperlink ref="F17" r:id="rId53" display="javascript:__doPostBack('ctl00$ContentPlaceHolder1$Grd_tot_detail$ctl07$hypmay','')" xr:uid="{00000000-0004-0000-3300-000034000000}"/>
    <hyperlink ref="G17" r:id="rId54" display="javascript:__doPostBack('ctl00$ContentPlaceHolder1$Grd_tot_detail$ctl07$hypjune','')" xr:uid="{00000000-0004-0000-3300-000035000000}"/>
    <hyperlink ref="H17" r:id="rId55" display="javascript:__doPostBack('ctl00$ContentPlaceHolder1$Grd_tot_detail$ctl07$hypjuly','')" xr:uid="{00000000-0004-0000-3300-000036000000}"/>
    <hyperlink ref="I17" r:id="rId56" display="javascript:__doPostBack('ctl00$ContentPlaceHolder1$Grd_tot_detail$ctl07$hypAugust','')" xr:uid="{00000000-0004-0000-3300-000037000000}"/>
    <hyperlink ref="J17" r:id="rId57" display="javascript:__doPostBack('ctl00$ContentPlaceHolder1$Grd_tot_detail$ctl07$hypSeptember','')" xr:uid="{00000000-0004-0000-3300-000038000000}"/>
    <hyperlink ref="K17" r:id="rId58" display="javascript:__doPostBack('ctl00$ContentPlaceHolder1$Grd_tot_detail$ctl07$hypOcteber','')" xr:uid="{00000000-0004-0000-3300-000039000000}"/>
    <hyperlink ref="L17" r:id="rId59" display="javascript:__doPostBack('ctl00$ContentPlaceHolder1$Grd_tot_detail$ctl07$hypNovember','')" xr:uid="{00000000-0004-0000-3300-00003A000000}"/>
    <hyperlink ref="M17" r:id="rId60" display="javascript:__doPostBack('ctl00$ContentPlaceHolder1$Grd_tot_detail$ctl07$hypDecember','')" xr:uid="{00000000-0004-0000-3300-00003B000000}"/>
    <hyperlink ref="D18" r:id="rId61" display="javascript:__doPostBack('ctl00$ContentPlaceHolder1$Grd_tot_detail$ctl23$lbtnfreezsch','')" xr:uid="{00000000-0004-0000-3300-00003C000000}"/>
    <hyperlink ref="E18" r:id="rId62" display="javascript:__doPostBack('ctl00$ContentPlaceHolder1$Grd_tot_detail$ctl23$hypapr','')" xr:uid="{00000000-0004-0000-3300-00003D000000}"/>
    <hyperlink ref="F18" r:id="rId63" display="javascript:__doPostBack('ctl00$ContentPlaceHolder1$Grd_tot_detail$ctl23$hypmay','')" xr:uid="{00000000-0004-0000-3300-00003E000000}"/>
    <hyperlink ref="G18" r:id="rId64" display="javascript:__doPostBack('ctl00$ContentPlaceHolder1$Grd_tot_detail$ctl23$hypjune','')" xr:uid="{00000000-0004-0000-3300-00003F000000}"/>
    <hyperlink ref="H18" r:id="rId65" display="javascript:__doPostBack('ctl00$ContentPlaceHolder1$Grd_tot_detail$ctl23$hypjuly','')" xr:uid="{00000000-0004-0000-3300-000040000000}"/>
    <hyperlink ref="I18" r:id="rId66" display="javascript:__doPostBack('ctl00$ContentPlaceHolder1$Grd_tot_detail$ctl23$hypAugust','')" xr:uid="{00000000-0004-0000-3300-000041000000}"/>
    <hyperlink ref="J18" r:id="rId67" display="javascript:__doPostBack('ctl00$ContentPlaceHolder1$Grd_tot_detail$ctl23$hypSeptember','')" xr:uid="{00000000-0004-0000-3300-000042000000}"/>
    <hyperlink ref="K18" r:id="rId68" display="javascript:__doPostBack('ctl00$ContentPlaceHolder1$Grd_tot_detail$ctl23$hypOcteber','')" xr:uid="{00000000-0004-0000-3300-000043000000}"/>
    <hyperlink ref="L18" r:id="rId69" display="javascript:__doPostBack('ctl00$ContentPlaceHolder1$Grd_tot_detail$ctl23$hypNovember','')" xr:uid="{00000000-0004-0000-3300-000044000000}"/>
    <hyperlink ref="M18" r:id="rId70" display="javascript:__doPostBack('ctl00$ContentPlaceHolder1$Grd_tot_detail$ctl23$hypDecember','')" xr:uid="{00000000-0004-0000-3300-000045000000}"/>
    <hyperlink ref="D19" r:id="rId71" display="javascript:__doPostBack('ctl00$ContentPlaceHolder1$Grd_tot_detail$ctl25$lbtnfreezsch','')" xr:uid="{00000000-0004-0000-3300-000046000000}"/>
    <hyperlink ref="E19" r:id="rId72" display="javascript:__doPostBack('ctl00$ContentPlaceHolder1$Grd_tot_detail$ctl25$hypapr','')" xr:uid="{00000000-0004-0000-3300-000047000000}"/>
    <hyperlink ref="F19" r:id="rId73" display="javascript:__doPostBack('ctl00$ContentPlaceHolder1$Grd_tot_detail$ctl25$hypmay','')" xr:uid="{00000000-0004-0000-3300-000048000000}"/>
    <hyperlink ref="G19" r:id="rId74" display="javascript:__doPostBack('ctl00$ContentPlaceHolder1$Grd_tot_detail$ctl25$hypjune','')" xr:uid="{00000000-0004-0000-3300-000049000000}"/>
    <hyperlink ref="H19" r:id="rId75" display="javascript:__doPostBack('ctl00$ContentPlaceHolder1$Grd_tot_detail$ctl25$hypjuly','')" xr:uid="{00000000-0004-0000-3300-00004A000000}"/>
    <hyperlink ref="I19" r:id="rId76" display="javascript:__doPostBack('ctl00$ContentPlaceHolder1$Grd_tot_detail$ctl25$hypAugust','')" xr:uid="{00000000-0004-0000-3300-00004B000000}"/>
    <hyperlink ref="J19" r:id="rId77" display="javascript:__doPostBack('ctl00$ContentPlaceHolder1$Grd_tot_detail$ctl25$hypSeptember','')" xr:uid="{00000000-0004-0000-3300-00004C000000}"/>
    <hyperlink ref="K19" r:id="rId78" display="javascript:__doPostBack('ctl00$ContentPlaceHolder1$Grd_tot_detail$ctl25$hypOcteber','')" xr:uid="{00000000-0004-0000-3300-00004D000000}"/>
    <hyperlink ref="L19" r:id="rId79" display="javascript:__doPostBack('ctl00$ContentPlaceHolder1$Grd_tot_detail$ctl25$hypNovember','')" xr:uid="{00000000-0004-0000-3300-00004E000000}"/>
    <hyperlink ref="M19" r:id="rId80" display="javascript:__doPostBack('ctl00$ContentPlaceHolder1$Grd_tot_detail$ctl25$hypDecember','')" xr:uid="{00000000-0004-0000-3300-00004F000000}"/>
    <hyperlink ref="D20" r:id="rId81" display="javascript:__doPostBack('ctl00$ContentPlaceHolder1$Grd_tot_detail$ctl19$lbtnfreezsch','')" xr:uid="{00000000-0004-0000-3300-000050000000}"/>
    <hyperlink ref="E20" r:id="rId82" display="javascript:__doPostBack('ctl00$ContentPlaceHolder1$Grd_tot_detail$ctl19$hypapr','')" xr:uid="{00000000-0004-0000-3300-000051000000}"/>
    <hyperlink ref="F20" r:id="rId83" display="javascript:__doPostBack('ctl00$ContentPlaceHolder1$Grd_tot_detail$ctl19$hypmay','')" xr:uid="{00000000-0004-0000-3300-000052000000}"/>
    <hyperlink ref="G20" r:id="rId84" display="javascript:__doPostBack('ctl00$ContentPlaceHolder1$Grd_tot_detail$ctl19$hypjune','')" xr:uid="{00000000-0004-0000-3300-000053000000}"/>
    <hyperlink ref="H20" r:id="rId85" display="javascript:__doPostBack('ctl00$ContentPlaceHolder1$Grd_tot_detail$ctl19$hypjuly','')" xr:uid="{00000000-0004-0000-3300-000054000000}"/>
    <hyperlink ref="I20" r:id="rId86" display="javascript:__doPostBack('ctl00$ContentPlaceHolder1$Grd_tot_detail$ctl19$hypAugust','')" xr:uid="{00000000-0004-0000-3300-000055000000}"/>
    <hyperlink ref="J20" r:id="rId87" display="javascript:__doPostBack('ctl00$ContentPlaceHolder1$Grd_tot_detail$ctl19$hypSeptember','')" xr:uid="{00000000-0004-0000-3300-000056000000}"/>
    <hyperlink ref="K20" r:id="rId88" display="javascript:__doPostBack('ctl00$ContentPlaceHolder1$Grd_tot_detail$ctl19$hypOcteber','')" xr:uid="{00000000-0004-0000-3300-000057000000}"/>
    <hyperlink ref="L20" r:id="rId89" display="javascript:__doPostBack('ctl00$ContentPlaceHolder1$Grd_tot_detail$ctl19$hypNovember','')" xr:uid="{00000000-0004-0000-3300-000058000000}"/>
    <hyperlink ref="M20" r:id="rId90" display="javascript:__doPostBack('ctl00$ContentPlaceHolder1$Grd_tot_detail$ctl19$hypDecember','')" xr:uid="{00000000-0004-0000-3300-000059000000}"/>
    <hyperlink ref="D21" r:id="rId91" display="javascript:__doPostBack('ctl00$ContentPlaceHolder1$Grd_tot_detail$ctl16$lbtnfreezsch','')" xr:uid="{00000000-0004-0000-3300-00005A000000}"/>
    <hyperlink ref="E21" r:id="rId92" display="javascript:__doPostBack('ctl00$ContentPlaceHolder1$Grd_tot_detail$ctl16$hypapr','')" xr:uid="{00000000-0004-0000-3300-00005B000000}"/>
    <hyperlink ref="F21" r:id="rId93" display="javascript:__doPostBack('ctl00$ContentPlaceHolder1$Grd_tot_detail$ctl16$hypmay','')" xr:uid="{00000000-0004-0000-3300-00005C000000}"/>
    <hyperlink ref="G21" r:id="rId94" display="javascript:__doPostBack('ctl00$ContentPlaceHolder1$Grd_tot_detail$ctl16$hypjune','')" xr:uid="{00000000-0004-0000-3300-00005D000000}"/>
    <hyperlink ref="H21" r:id="rId95" display="javascript:__doPostBack('ctl00$ContentPlaceHolder1$Grd_tot_detail$ctl16$hypjuly','')" xr:uid="{00000000-0004-0000-3300-00005E000000}"/>
    <hyperlink ref="I21" r:id="rId96" display="javascript:__doPostBack('ctl00$ContentPlaceHolder1$Grd_tot_detail$ctl16$hypAugust','')" xr:uid="{00000000-0004-0000-3300-00005F000000}"/>
    <hyperlink ref="J21" r:id="rId97" display="javascript:__doPostBack('ctl00$ContentPlaceHolder1$Grd_tot_detail$ctl16$hypSeptember','')" xr:uid="{00000000-0004-0000-3300-000060000000}"/>
    <hyperlink ref="K21" r:id="rId98" display="javascript:__doPostBack('ctl00$ContentPlaceHolder1$Grd_tot_detail$ctl16$hypOcteber','')" xr:uid="{00000000-0004-0000-3300-000061000000}"/>
    <hyperlink ref="L21" r:id="rId99" display="javascript:__doPostBack('ctl00$ContentPlaceHolder1$Grd_tot_detail$ctl16$hypNovember','')" xr:uid="{00000000-0004-0000-3300-000062000000}"/>
    <hyperlink ref="M21" r:id="rId100" display="javascript:__doPostBack('ctl00$ContentPlaceHolder1$Grd_tot_detail$ctl16$hypDecember','')" xr:uid="{00000000-0004-0000-3300-000063000000}"/>
    <hyperlink ref="D22" r:id="rId101" display="javascript:__doPostBack('ctl00$ContentPlaceHolder1$Grd_tot_detail$ctl08$lbtnfreezsch','')" xr:uid="{00000000-0004-0000-3300-000064000000}"/>
    <hyperlink ref="E22" r:id="rId102" display="javascript:__doPostBack('ctl00$ContentPlaceHolder1$Grd_tot_detail$ctl08$hypapr','')" xr:uid="{00000000-0004-0000-3300-000065000000}"/>
    <hyperlink ref="F22" r:id="rId103" display="javascript:__doPostBack('ctl00$ContentPlaceHolder1$Grd_tot_detail$ctl08$hypmay','')" xr:uid="{00000000-0004-0000-3300-000066000000}"/>
    <hyperlink ref="G22" r:id="rId104" display="javascript:__doPostBack('ctl00$ContentPlaceHolder1$Grd_tot_detail$ctl08$hypjune','')" xr:uid="{00000000-0004-0000-3300-000067000000}"/>
    <hyperlink ref="H22" r:id="rId105" display="javascript:__doPostBack('ctl00$ContentPlaceHolder1$Grd_tot_detail$ctl08$hypjuly','')" xr:uid="{00000000-0004-0000-3300-000068000000}"/>
    <hyperlink ref="I22" r:id="rId106" display="javascript:__doPostBack('ctl00$ContentPlaceHolder1$Grd_tot_detail$ctl08$hypAugust','')" xr:uid="{00000000-0004-0000-3300-000069000000}"/>
    <hyperlink ref="J22" r:id="rId107" display="javascript:__doPostBack('ctl00$ContentPlaceHolder1$Grd_tot_detail$ctl08$hypSeptember','')" xr:uid="{00000000-0004-0000-3300-00006A000000}"/>
    <hyperlink ref="K22" r:id="rId108" display="javascript:__doPostBack('ctl00$ContentPlaceHolder1$Grd_tot_detail$ctl08$hypOcteber','')" xr:uid="{00000000-0004-0000-3300-00006B000000}"/>
    <hyperlink ref="L22" r:id="rId109" display="javascript:__doPostBack('ctl00$ContentPlaceHolder1$Grd_tot_detail$ctl08$hypNovember','')" xr:uid="{00000000-0004-0000-3300-00006C000000}"/>
    <hyperlink ref="M22" r:id="rId110" display="javascript:__doPostBack('ctl00$ContentPlaceHolder1$Grd_tot_detail$ctl08$hypDecember','')" xr:uid="{00000000-0004-0000-3300-00006D000000}"/>
    <hyperlink ref="D23" r:id="rId111" display="javascript:__doPostBack('ctl00$ContentPlaceHolder1$Grd_tot_detail$ctl12$lbtnfreezsch','')" xr:uid="{00000000-0004-0000-3300-00006E000000}"/>
    <hyperlink ref="E23" r:id="rId112" display="javascript:__doPostBack('ctl00$ContentPlaceHolder1$Grd_tot_detail$ctl12$hypapr','')" xr:uid="{00000000-0004-0000-3300-00006F000000}"/>
    <hyperlink ref="F23" r:id="rId113" display="javascript:__doPostBack('ctl00$ContentPlaceHolder1$Grd_tot_detail$ctl12$hypmay','')" xr:uid="{00000000-0004-0000-3300-000070000000}"/>
    <hyperlink ref="G23" r:id="rId114" display="javascript:__doPostBack('ctl00$ContentPlaceHolder1$Grd_tot_detail$ctl12$hypjune','')" xr:uid="{00000000-0004-0000-3300-000071000000}"/>
    <hyperlink ref="H23" r:id="rId115" display="javascript:__doPostBack('ctl00$ContentPlaceHolder1$Grd_tot_detail$ctl12$hypjuly','')" xr:uid="{00000000-0004-0000-3300-000072000000}"/>
    <hyperlink ref="I23" r:id="rId116" display="javascript:__doPostBack('ctl00$ContentPlaceHolder1$Grd_tot_detail$ctl12$hypAugust','')" xr:uid="{00000000-0004-0000-3300-000073000000}"/>
    <hyperlink ref="J23" r:id="rId117" display="javascript:__doPostBack('ctl00$ContentPlaceHolder1$Grd_tot_detail$ctl12$hypSeptember','')" xr:uid="{00000000-0004-0000-3300-000074000000}"/>
    <hyperlink ref="K23" r:id="rId118" display="javascript:__doPostBack('ctl00$ContentPlaceHolder1$Grd_tot_detail$ctl12$hypOcteber','')" xr:uid="{00000000-0004-0000-3300-000075000000}"/>
    <hyperlink ref="L23" r:id="rId119" display="javascript:__doPostBack('ctl00$ContentPlaceHolder1$Grd_tot_detail$ctl12$hypNovember','')" xr:uid="{00000000-0004-0000-3300-000076000000}"/>
    <hyperlink ref="M23" r:id="rId120" display="javascript:__doPostBack('ctl00$ContentPlaceHolder1$Grd_tot_detail$ctl12$hypDecember','')" xr:uid="{00000000-0004-0000-3300-000077000000}"/>
    <hyperlink ref="D24" r:id="rId121" display="javascript:__doPostBack('ctl00$ContentPlaceHolder1$Grd_tot_detail$ctl20$lbtnfreezsch','')" xr:uid="{00000000-0004-0000-3300-000078000000}"/>
    <hyperlink ref="E24" r:id="rId122" display="javascript:__doPostBack('ctl00$ContentPlaceHolder1$Grd_tot_detail$ctl20$hypapr','')" xr:uid="{00000000-0004-0000-3300-000079000000}"/>
    <hyperlink ref="F24" r:id="rId123" display="javascript:__doPostBack('ctl00$ContentPlaceHolder1$Grd_tot_detail$ctl20$hypmay','')" xr:uid="{00000000-0004-0000-3300-00007A000000}"/>
    <hyperlink ref="G24" r:id="rId124" display="javascript:__doPostBack('ctl00$ContentPlaceHolder1$Grd_tot_detail$ctl20$hypjune','')" xr:uid="{00000000-0004-0000-3300-00007B000000}"/>
    <hyperlink ref="H24" r:id="rId125" display="javascript:__doPostBack('ctl00$ContentPlaceHolder1$Grd_tot_detail$ctl20$hypjuly','')" xr:uid="{00000000-0004-0000-3300-00007C000000}"/>
    <hyperlink ref="I24" r:id="rId126" display="javascript:__doPostBack('ctl00$ContentPlaceHolder1$Grd_tot_detail$ctl20$hypAugust','')" xr:uid="{00000000-0004-0000-3300-00007D000000}"/>
    <hyperlink ref="J24" r:id="rId127" display="javascript:__doPostBack('ctl00$ContentPlaceHolder1$Grd_tot_detail$ctl20$hypSeptember','')" xr:uid="{00000000-0004-0000-3300-00007E000000}"/>
    <hyperlink ref="K24" r:id="rId128" display="javascript:__doPostBack('ctl00$ContentPlaceHolder1$Grd_tot_detail$ctl20$hypOcteber','')" xr:uid="{00000000-0004-0000-3300-00007F000000}"/>
    <hyperlink ref="L24" r:id="rId129" display="javascript:__doPostBack('ctl00$ContentPlaceHolder1$Grd_tot_detail$ctl20$hypNovember','')" xr:uid="{00000000-0004-0000-3300-000080000000}"/>
    <hyperlink ref="M24" r:id="rId130" display="javascript:__doPostBack('ctl00$ContentPlaceHolder1$Grd_tot_detail$ctl20$hypDecember','')" xr:uid="{00000000-0004-0000-3300-000081000000}"/>
    <hyperlink ref="D25" r:id="rId131" display="javascript:__doPostBack('ctl00$ContentPlaceHolder1$Grd_tot_detail$ctl15$lbtnfreezsch','')" xr:uid="{00000000-0004-0000-3300-000082000000}"/>
    <hyperlink ref="E25" r:id="rId132" display="javascript:__doPostBack('ctl00$ContentPlaceHolder1$Grd_tot_detail$ctl15$hypapr','')" xr:uid="{00000000-0004-0000-3300-000083000000}"/>
    <hyperlink ref="F25" r:id="rId133" display="javascript:__doPostBack('ctl00$ContentPlaceHolder1$Grd_tot_detail$ctl15$hypmay','')" xr:uid="{00000000-0004-0000-3300-000084000000}"/>
    <hyperlink ref="G25" r:id="rId134" display="javascript:__doPostBack('ctl00$ContentPlaceHolder1$Grd_tot_detail$ctl15$hypjune','')" xr:uid="{00000000-0004-0000-3300-000085000000}"/>
    <hyperlink ref="H25" r:id="rId135" display="javascript:__doPostBack('ctl00$ContentPlaceHolder1$Grd_tot_detail$ctl15$hypjuly','')" xr:uid="{00000000-0004-0000-3300-000086000000}"/>
    <hyperlink ref="I25" r:id="rId136" display="javascript:__doPostBack('ctl00$ContentPlaceHolder1$Grd_tot_detail$ctl15$hypAugust','')" xr:uid="{00000000-0004-0000-3300-000087000000}"/>
    <hyperlink ref="J25" r:id="rId137" display="javascript:__doPostBack('ctl00$ContentPlaceHolder1$Grd_tot_detail$ctl15$hypSeptember','')" xr:uid="{00000000-0004-0000-3300-000088000000}"/>
    <hyperlink ref="K25" r:id="rId138" display="javascript:__doPostBack('ctl00$ContentPlaceHolder1$Grd_tot_detail$ctl15$hypOcteber','')" xr:uid="{00000000-0004-0000-3300-000089000000}"/>
    <hyperlink ref="L25" r:id="rId139" display="javascript:__doPostBack('ctl00$ContentPlaceHolder1$Grd_tot_detail$ctl15$hypNovember','')" xr:uid="{00000000-0004-0000-3300-00008A000000}"/>
    <hyperlink ref="M25" r:id="rId140" display="javascript:__doPostBack('ctl00$ContentPlaceHolder1$Grd_tot_detail$ctl15$hypDecember','')" xr:uid="{00000000-0004-0000-3300-00008B000000}"/>
    <hyperlink ref="D26" r:id="rId141" display="javascript:__doPostBack('ctl00$ContentPlaceHolder1$Grd_tot_detail$ctl03$lbtnfreezsch','')" xr:uid="{00000000-0004-0000-3300-00008C000000}"/>
    <hyperlink ref="E26" r:id="rId142" display="javascript:__doPostBack('ctl00$ContentPlaceHolder1$Grd_tot_detail$ctl03$hypapr','')" xr:uid="{00000000-0004-0000-3300-00008D000000}"/>
    <hyperlink ref="F26" r:id="rId143" display="javascript:__doPostBack('ctl00$ContentPlaceHolder1$Grd_tot_detail$ctl03$hypmay','')" xr:uid="{00000000-0004-0000-3300-00008E000000}"/>
    <hyperlink ref="G26" r:id="rId144" display="javascript:__doPostBack('ctl00$ContentPlaceHolder1$Grd_tot_detail$ctl03$hypjune','')" xr:uid="{00000000-0004-0000-3300-00008F000000}"/>
    <hyperlink ref="H26" r:id="rId145" display="javascript:__doPostBack('ctl00$ContentPlaceHolder1$Grd_tot_detail$ctl03$hypjuly','')" xr:uid="{00000000-0004-0000-3300-000090000000}"/>
    <hyperlink ref="I26" r:id="rId146" display="javascript:__doPostBack('ctl00$ContentPlaceHolder1$Grd_tot_detail$ctl03$hypAugust','')" xr:uid="{00000000-0004-0000-3300-000091000000}"/>
    <hyperlink ref="J26" r:id="rId147" display="javascript:__doPostBack('ctl00$ContentPlaceHolder1$Grd_tot_detail$ctl03$hypSeptember','')" xr:uid="{00000000-0004-0000-3300-000092000000}"/>
    <hyperlink ref="K26" r:id="rId148" display="javascript:__doPostBack('ctl00$ContentPlaceHolder1$Grd_tot_detail$ctl03$hypOcteber','')" xr:uid="{00000000-0004-0000-3300-000093000000}"/>
    <hyperlink ref="L26" r:id="rId149" display="javascript:__doPostBack('ctl00$ContentPlaceHolder1$Grd_tot_detail$ctl03$hypNovember','')" xr:uid="{00000000-0004-0000-3300-000094000000}"/>
    <hyperlink ref="M26" r:id="rId150" display="javascript:__doPostBack('ctl00$ContentPlaceHolder1$Grd_tot_detail$ctl03$hypDecember','')" xr:uid="{00000000-0004-0000-3300-000095000000}"/>
    <hyperlink ref="D27" r:id="rId151" display="javascript:__doPostBack('ctl00$ContentPlaceHolder1$Grd_tot_detail$ctl09$lbtnfreezsch','')" xr:uid="{00000000-0004-0000-3300-000096000000}"/>
    <hyperlink ref="E27" r:id="rId152" display="javascript:__doPostBack('ctl00$ContentPlaceHolder1$Grd_tot_detail$ctl09$hypapr','')" xr:uid="{00000000-0004-0000-3300-000097000000}"/>
    <hyperlink ref="F27" r:id="rId153" display="javascript:__doPostBack('ctl00$ContentPlaceHolder1$Grd_tot_detail$ctl09$hypmay','')" xr:uid="{00000000-0004-0000-3300-000098000000}"/>
    <hyperlink ref="G27" r:id="rId154" display="javascript:__doPostBack('ctl00$ContentPlaceHolder1$Grd_tot_detail$ctl09$hypjune','')" xr:uid="{00000000-0004-0000-3300-000099000000}"/>
    <hyperlink ref="H27" r:id="rId155" display="javascript:__doPostBack('ctl00$ContentPlaceHolder1$Grd_tot_detail$ctl09$hypjuly','')" xr:uid="{00000000-0004-0000-3300-00009A000000}"/>
    <hyperlink ref="I27" r:id="rId156" display="javascript:__doPostBack('ctl00$ContentPlaceHolder1$Grd_tot_detail$ctl09$hypAugust','')" xr:uid="{00000000-0004-0000-3300-00009B000000}"/>
    <hyperlink ref="J27" r:id="rId157" display="javascript:__doPostBack('ctl00$ContentPlaceHolder1$Grd_tot_detail$ctl09$hypSeptember','')" xr:uid="{00000000-0004-0000-3300-00009C000000}"/>
    <hyperlink ref="K27" r:id="rId158" display="javascript:__doPostBack('ctl00$ContentPlaceHolder1$Grd_tot_detail$ctl09$hypOcteber','')" xr:uid="{00000000-0004-0000-3300-00009D000000}"/>
    <hyperlink ref="L27" r:id="rId159" display="javascript:__doPostBack('ctl00$ContentPlaceHolder1$Grd_tot_detail$ctl09$hypNovember','')" xr:uid="{00000000-0004-0000-3300-00009E000000}"/>
    <hyperlink ref="M27" r:id="rId160" display="javascript:__doPostBack('ctl00$ContentPlaceHolder1$Grd_tot_detail$ctl09$hypDecember','')" xr:uid="{00000000-0004-0000-3300-00009F000000}"/>
    <hyperlink ref="D28" r:id="rId161" display="javascript:__doPostBack('ctl00$ContentPlaceHolder1$Grd_tot_detail$ctl05$lbtnfreezsch','')" xr:uid="{00000000-0004-0000-3300-0000A0000000}"/>
    <hyperlink ref="E28" r:id="rId162" display="javascript:__doPostBack('ctl00$ContentPlaceHolder1$Grd_tot_detail$ctl05$hypapr','')" xr:uid="{00000000-0004-0000-3300-0000A1000000}"/>
    <hyperlink ref="F28" r:id="rId163" display="javascript:__doPostBack('ctl00$ContentPlaceHolder1$Grd_tot_detail$ctl05$hypmay','')" xr:uid="{00000000-0004-0000-3300-0000A2000000}"/>
    <hyperlink ref="G28" r:id="rId164" display="javascript:__doPostBack('ctl00$ContentPlaceHolder1$Grd_tot_detail$ctl05$hypjune','')" xr:uid="{00000000-0004-0000-3300-0000A3000000}"/>
    <hyperlink ref="H28" r:id="rId165" display="javascript:__doPostBack('ctl00$ContentPlaceHolder1$Grd_tot_detail$ctl05$hypjuly','')" xr:uid="{00000000-0004-0000-3300-0000A4000000}"/>
    <hyperlink ref="I28" r:id="rId166" display="javascript:__doPostBack('ctl00$ContentPlaceHolder1$Grd_tot_detail$ctl05$hypAugust','')" xr:uid="{00000000-0004-0000-3300-0000A5000000}"/>
    <hyperlink ref="J28" r:id="rId167" display="javascript:__doPostBack('ctl00$ContentPlaceHolder1$Grd_tot_detail$ctl05$hypSeptember','')" xr:uid="{00000000-0004-0000-3300-0000A6000000}"/>
    <hyperlink ref="K28" r:id="rId168" display="javascript:__doPostBack('ctl00$ContentPlaceHolder1$Grd_tot_detail$ctl05$hypOcteber','')" xr:uid="{00000000-0004-0000-3300-0000A7000000}"/>
    <hyperlink ref="L28" r:id="rId169" display="javascript:__doPostBack('ctl00$ContentPlaceHolder1$Grd_tot_detail$ctl05$hypNovember','')" xr:uid="{00000000-0004-0000-3300-0000A8000000}"/>
    <hyperlink ref="M28" r:id="rId170" display="javascript:__doPostBack('ctl00$ContentPlaceHolder1$Grd_tot_detail$ctl05$hypDecember','')" xr:uid="{00000000-0004-0000-3300-0000A9000000}"/>
    <hyperlink ref="D29" r:id="rId171" display="javascript:__doPostBack('ctl00$ContentPlaceHolder1$Grd_tot_detail$ctl02$lbtnfreezsch','')" xr:uid="{00000000-0004-0000-3300-0000AA000000}"/>
    <hyperlink ref="E29" r:id="rId172" display="javascript:__doPostBack('ctl00$ContentPlaceHolder1$Grd_tot_detail$ctl02$hypapr','')" xr:uid="{00000000-0004-0000-3300-0000AB000000}"/>
    <hyperlink ref="F29" r:id="rId173" display="javascript:__doPostBack('ctl00$ContentPlaceHolder1$Grd_tot_detail$ctl02$hypmay','')" xr:uid="{00000000-0004-0000-3300-0000AC000000}"/>
    <hyperlink ref="G29" r:id="rId174" display="javascript:__doPostBack('ctl00$ContentPlaceHolder1$Grd_tot_detail$ctl02$hypjune','')" xr:uid="{00000000-0004-0000-3300-0000AD000000}"/>
    <hyperlink ref="H29" r:id="rId175" display="javascript:__doPostBack('ctl00$ContentPlaceHolder1$Grd_tot_detail$ctl02$hypjuly','')" xr:uid="{00000000-0004-0000-3300-0000AE000000}"/>
    <hyperlink ref="I29" r:id="rId176" display="javascript:__doPostBack('ctl00$ContentPlaceHolder1$Grd_tot_detail$ctl02$hypAugust','')" xr:uid="{00000000-0004-0000-3300-0000AF000000}"/>
    <hyperlink ref="J29" r:id="rId177" display="javascript:__doPostBack('ctl00$ContentPlaceHolder1$Grd_tot_detail$ctl02$hypSeptember','')" xr:uid="{00000000-0004-0000-3300-0000B0000000}"/>
    <hyperlink ref="K29" r:id="rId178" display="javascript:__doPostBack('ctl00$ContentPlaceHolder1$Grd_tot_detail$ctl02$hypOcteber','')" xr:uid="{00000000-0004-0000-3300-0000B1000000}"/>
    <hyperlink ref="L29" r:id="rId179" display="javascript:__doPostBack('ctl00$ContentPlaceHolder1$Grd_tot_detail$ctl02$hypNovember','')" xr:uid="{00000000-0004-0000-3300-0000B2000000}"/>
    <hyperlink ref="M29" r:id="rId180" display="javascript:__doPostBack('ctl00$ContentPlaceHolder1$Grd_tot_detail$ctl02$hypDecember','')" xr:uid="{00000000-0004-0000-3300-0000B3000000}"/>
    <hyperlink ref="D30" r:id="rId181" display="javascript:__doPostBack('ctl00$ContentPlaceHolder1$Grd_tot_detail$ctl06$lbtnfreezsch','')" xr:uid="{00000000-0004-0000-3300-0000B4000000}"/>
    <hyperlink ref="E30" r:id="rId182" display="javascript:__doPostBack('ctl00$ContentPlaceHolder1$Grd_tot_detail$ctl06$hypapr','')" xr:uid="{00000000-0004-0000-3300-0000B5000000}"/>
    <hyperlink ref="F30" r:id="rId183" display="javascript:__doPostBack('ctl00$ContentPlaceHolder1$Grd_tot_detail$ctl06$hypmay','')" xr:uid="{00000000-0004-0000-3300-0000B6000000}"/>
    <hyperlink ref="G30" r:id="rId184" display="javascript:__doPostBack('ctl00$ContentPlaceHolder1$Grd_tot_detail$ctl06$hypjune','')" xr:uid="{00000000-0004-0000-3300-0000B7000000}"/>
    <hyperlink ref="H30" r:id="rId185" display="javascript:__doPostBack('ctl00$ContentPlaceHolder1$Grd_tot_detail$ctl06$hypjuly','')" xr:uid="{00000000-0004-0000-3300-0000B8000000}"/>
    <hyperlink ref="I30" r:id="rId186" display="javascript:__doPostBack('ctl00$ContentPlaceHolder1$Grd_tot_detail$ctl06$hypAugust','')" xr:uid="{00000000-0004-0000-3300-0000B9000000}"/>
    <hyperlink ref="J30" r:id="rId187" display="javascript:__doPostBack('ctl00$ContentPlaceHolder1$Grd_tot_detail$ctl06$hypSeptember','')" xr:uid="{00000000-0004-0000-3300-0000BA000000}"/>
    <hyperlink ref="K30" r:id="rId188" display="javascript:__doPostBack('ctl00$ContentPlaceHolder1$Grd_tot_detail$ctl06$hypOcteber','')" xr:uid="{00000000-0004-0000-3300-0000BB000000}"/>
    <hyperlink ref="L30" r:id="rId189" display="javascript:__doPostBack('ctl00$ContentPlaceHolder1$Grd_tot_detail$ctl06$hypNovember','')" xr:uid="{00000000-0004-0000-3300-0000BC000000}"/>
    <hyperlink ref="M30" r:id="rId190" display="javascript:__doPostBack('ctl00$ContentPlaceHolder1$Grd_tot_detail$ctl06$hypDecember','')" xr:uid="{00000000-0004-0000-3300-0000BD000000}"/>
    <hyperlink ref="D31" r:id="rId191" display="javascript:__doPostBack('ctl00$ContentPlaceHolder1$Grd_tot_detail$ctl13$lbtnfreezsch','')" xr:uid="{00000000-0004-0000-3300-0000BE000000}"/>
    <hyperlink ref="E31" r:id="rId192" display="javascript:__doPostBack('ctl00$ContentPlaceHolder1$Grd_tot_detail$ctl13$hypapr','')" xr:uid="{00000000-0004-0000-3300-0000BF000000}"/>
    <hyperlink ref="F31" r:id="rId193" display="javascript:__doPostBack('ctl00$ContentPlaceHolder1$Grd_tot_detail$ctl13$hypmay','')" xr:uid="{00000000-0004-0000-3300-0000C0000000}"/>
    <hyperlink ref="G31" r:id="rId194" display="javascript:__doPostBack('ctl00$ContentPlaceHolder1$Grd_tot_detail$ctl13$hypjune','')" xr:uid="{00000000-0004-0000-3300-0000C1000000}"/>
    <hyperlink ref="H31" r:id="rId195" display="javascript:__doPostBack('ctl00$ContentPlaceHolder1$Grd_tot_detail$ctl13$hypjuly','')" xr:uid="{00000000-0004-0000-3300-0000C2000000}"/>
    <hyperlink ref="I31" r:id="rId196" display="javascript:__doPostBack('ctl00$ContentPlaceHolder1$Grd_tot_detail$ctl13$hypAugust','')" xr:uid="{00000000-0004-0000-3300-0000C3000000}"/>
    <hyperlink ref="J31" r:id="rId197" display="javascript:__doPostBack('ctl00$ContentPlaceHolder1$Grd_tot_detail$ctl13$hypSeptember','')" xr:uid="{00000000-0004-0000-3300-0000C4000000}"/>
    <hyperlink ref="K31" r:id="rId198" display="javascript:__doPostBack('ctl00$ContentPlaceHolder1$Grd_tot_detail$ctl13$hypOcteber','')" xr:uid="{00000000-0004-0000-3300-0000C5000000}"/>
    <hyperlink ref="L31" r:id="rId199" display="javascript:__doPostBack('ctl00$ContentPlaceHolder1$Grd_tot_detail$ctl13$hypNovember','')" xr:uid="{00000000-0004-0000-3300-0000C6000000}"/>
    <hyperlink ref="M31" r:id="rId200" display="javascript:__doPostBack('ctl00$ContentPlaceHolder1$Grd_tot_detail$ctl13$hypDecember','')" xr:uid="{00000000-0004-0000-3300-0000C7000000}"/>
    <hyperlink ref="D32" r:id="rId201" display="javascript:__doPostBack('ctl00$ContentPlaceHolder1$Grd_tot_detail$ctl22$lbtnfreezsch','')" xr:uid="{00000000-0004-0000-3300-0000C8000000}"/>
    <hyperlink ref="E32" r:id="rId202" display="javascript:__doPostBack('ctl00$ContentPlaceHolder1$Grd_tot_detail$ctl22$hypapr','')" xr:uid="{00000000-0004-0000-3300-0000C9000000}"/>
    <hyperlink ref="F32" r:id="rId203" display="javascript:__doPostBack('ctl00$ContentPlaceHolder1$Grd_tot_detail$ctl22$hypmay','')" xr:uid="{00000000-0004-0000-3300-0000CA000000}"/>
    <hyperlink ref="G32" r:id="rId204" display="javascript:__doPostBack('ctl00$ContentPlaceHolder1$Grd_tot_detail$ctl22$hypjune','')" xr:uid="{00000000-0004-0000-3300-0000CB000000}"/>
    <hyperlink ref="H32" r:id="rId205" display="javascript:__doPostBack('ctl00$ContentPlaceHolder1$Grd_tot_detail$ctl22$hypjuly','')" xr:uid="{00000000-0004-0000-3300-0000CC000000}"/>
    <hyperlink ref="I32" r:id="rId206" display="javascript:__doPostBack('ctl00$ContentPlaceHolder1$Grd_tot_detail$ctl22$hypAugust','')" xr:uid="{00000000-0004-0000-3300-0000CD000000}"/>
    <hyperlink ref="J32" r:id="rId207" display="javascript:__doPostBack('ctl00$ContentPlaceHolder1$Grd_tot_detail$ctl22$hypSeptember','')" xr:uid="{00000000-0004-0000-3300-0000CE000000}"/>
    <hyperlink ref="K32" r:id="rId208" display="javascript:__doPostBack('ctl00$ContentPlaceHolder1$Grd_tot_detail$ctl22$hypOcteber','')" xr:uid="{00000000-0004-0000-3300-0000CF000000}"/>
    <hyperlink ref="L32" r:id="rId209" display="javascript:__doPostBack('ctl00$ContentPlaceHolder1$Grd_tot_detail$ctl22$hypNovember','')" xr:uid="{00000000-0004-0000-3300-0000D0000000}"/>
    <hyperlink ref="M32" r:id="rId210" display="javascript:__doPostBack('ctl00$ContentPlaceHolder1$Grd_tot_detail$ctl22$hypDecember','')" xr:uid="{00000000-0004-0000-3300-0000D1000000}"/>
    <hyperlink ref="D33" r:id="rId211" display="javascript:__doPostBack('ctl00$ContentPlaceHolder1$Grd_tot_detail$ctl18$lbtnfreezsch','')" xr:uid="{00000000-0004-0000-3300-0000D2000000}"/>
    <hyperlink ref="E33" r:id="rId212" display="javascript:__doPostBack('ctl00$ContentPlaceHolder1$Grd_tot_detail$ctl18$hypapr','')" xr:uid="{00000000-0004-0000-3300-0000D3000000}"/>
    <hyperlink ref="F33" r:id="rId213" display="javascript:__doPostBack('ctl00$ContentPlaceHolder1$Grd_tot_detail$ctl18$hypmay','')" xr:uid="{00000000-0004-0000-3300-0000D4000000}"/>
    <hyperlink ref="G33" r:id="rId214" display="javascript:__doPostBack('ctl00$ContentPlaceHolder1$Grd_tot_detail$ctl18$hypjune','')" xr:uid="{00000000-0004-0000-3300-0000D5000000}"/>
    <hyperlink ref="H33" r:id="rId215" display="javascript:__doPostBack('ctl00$ContentPlaceHolder1$Grd_tot_detail$ctl18$hypjuly','')" xr:uid="{00000000-0004-0000-3300-0000D6000000}"/>
    <hyperlink ref="I33" r:id="rId216" display="javascript:__doPostBack('ctl00$ContentPlaceHolder1$Grd_tot_detail$ctl18$hypAugust','')" xr:uid="{00000000-0004-0000-3300-0000D7000000}"/>
    <hyperlink ref="J33" r:id="rId217" display="javascript:__doPostBack('ctl00$ContentPlaceHolder1$Grd_tot_detail$ctl18$hypSeptember','')" xr:uid="{00000000-0004-0000-3300-0000D8000000}"/>
    <hyperlink ref="K33" r:id="rId218" display="javascript:__doPostBack('ctl00$ContentPlaceHolder1$Grd_tot_detail$ctl18$hypOcteber','')" xr:uid="{00000000-0004-0000-3300-0000D9000000}"/>
    <hyperlink ref="L33" r:id="rId219" display="javascript:__doPostBack('ctl00$ContentPlaceHolder1$Grd_tot_detail$ctl18$hypNovember','')" xr:uid="{00000000-0004-0000-3300-0000DA000000}"/>
    <hyperlink ref="M33" r:id="rId220" display="javascript:__doPostBack('ctl00$ContentPlaceHolder1$Grd_tot_detail$ctl18$hypDecember','')" xr:uid="{00000000-0004-0000-3300-0000DB000000}"/>
    <hyperlink ref="D34" r:id="rId221" display="javascript:__doPostBack('ctl00$ContentPlaceHolder1$Grd_tot_detail$ctl10$lbtnfreezsch','')" xr:uid="{00000000-0004-0000-3300-0000DC000000}"/>
    <hyperlink ref="E34" r:id="rId222" display="javascript:__doPostBack('ctl00$ContentPlaceHolder1$Grd_tot_detail$ctl10$hypapr','')" xr:uid="{00000000-0004-0000-3300-0000DD000000}"/>
    <hyperlink ref="F34" r:id="rId223" display="javascript:__doPostBack('ctl00$ContentPlaceHolder1$Grd_tot_detail$ctl10$hypmay','')" xr:uid="{00000000-0004-0000-3300-0000DE000000}"/>
    <hyperlink ref="G34" r:id="rId224" display="javascript:__doPostBack('ctl00$ContentPlaceHolder1$Grd_tot_detail$ctl10$hypjune','')" xr:uid="{00000000-0004-0000-3300-0000DF000000}"/>
    <hyperlink ref="H34" r:id="rId225" display="javascript:__doPostBack('ctl00$ContentPlaceHolder1$Grd_tot_detail$ctl10$hypjuly','')" xr:uid="{00000000-0004-0000-3300-0000E0000000}"/>
    <hyperlink ref="I34" r:id="rId226" display="javascript:__doPostBack('ctl00$ContentPlaceHolder1$Grd_tot_detail$ctl10$hypAugust','')" xr:uid="{00000000-0004-0000-3300-0000E1000000}"/>
    <hyperlink ref="J34" r:id="rId227" display="javascript:__doPostBack('ctl00$ContentPlaceHolder1$Grd_tot_detail$ctl10$hypSeptember','')" xr:uid="{00000000-0004-0000-3300-0000E2000000}"/>
    <hyperlink ref="K34" r:id="rId228" display="javascript:__doPostBack('ctl00$ContentPlaceHolder1$Grd_tot_detail$ctl10$hypOcteber','')" xr:uid="{00000000-0004-0000-3300-0000E3000000}"/>
    <hyperlink ref="L34" r:id="rId229" display="javascript:__doPostBack('ctl00$ContentPlaceHolder1$Grd_tot_detail$ctl10$hypNovember','')" xr:uid="{00000000-0004-0000-3300-0000E4000000}"/>
    <hyperlink ref="M34" r:id="rId230" display="javascript:__doPostBack('ctl00$ContentPlaceHolder1$Grd_tot_detail$ctl10$hypDecember','')" xr:uid="{00000000-0004-0000-3300-0000E5000000}"/>
    <hyperlink ref="D35" r:id="rId231" display="javascript:__doPostBack('ctl00$ContentPlaceHolder1$Grd_tot_detail$ctl04$lbtnfreezsch','')" xr:uid="{00000000-0004-0000-3300-0000E6000000}"/>
    <hyperlink ref="E35" r:id="rId232" display="javascript:__doPostBack('ctl00$ContentPlaceHolder1$Grd_tot_detail$ctl04$hypapr','')" xr:uid="{00000000-0004-0000-3300-0000E7000000}"/>
    <hyperlink ref="F35" r:id="rId233" display="javascript:__doPostBack('ctl00$ContentPlaceHolder1$Grd_tot_detail$ctl04$hypmay','')" xr:uid="{00000000-0004-0000-3300-0000E8000000}"/>
    <hyperlink ref="G35" r:id="rId234" display="javascript:__doPostBack('ctl00$ContentPlaceHolder1$Grd_tot_detail$ctl04$hypjune','')" xr:uid="{00000000-0004-0000-3300-0000E9000000}"/>
    <hyperlink ref="H35" r:id="rId235" display="javascript:__doPostBack('ctl00$ContentPlaceHolder1$Grd_tot_detail$ctl04$hypjuly','')" xr:uid="{00000000-0004-0000-3300-0000EA000000}"/>
    <hyperlink ref="I35" r:id="rId236" display="javascript:__doPostBack('ctl00$ContentPlaceHolder1$Grd_tot_detail$ctl04$hypAugust','')" xr:uid="{00000000-0004-0000-3300-0000EB000000}"/>
    <hyperlink ref="J35" r:id="rId237" display="javascript:__doPostBack('ctl00$ContentPlaceHolder1$Grd_tot_detail$ctl04$hypSeptember','')" xr:uid="{00000000-0004-0000-3300-0000EC000000}"/>
    <hyperlink ref="K35" r:id="rId238" display="javascript:__doPostBack('ctl00$ContentPlaceHolder1$Grd_tot_detail$ctl04$hypOcteber','')" xr:uid="{00000000-0004-0000-3300-0000ED000000}"/>
    <hyperlink ref="L35" r:id="rId239" display="javascript:__doPostBack('ctl00$ContentPlaceHolder1$Grd_tot_detail$ctl04$hypNovember','')" xr:uid="{00000000-0004-0000-3300-0000EE000000}"/>
  </hyperlinks>
  <printOptions horizontalCentered="1"/>
  <pageMargins left="0.70866141732283472" right="0.16" top="0.23622047244094491" bottom="0" header="0.24" footer="0.31496062992125984"/>
  <pageSetup paperSize="9" scale="82" orientation="landscape" r:id="rId24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47"/>
  <sheetViews>
    <sheetView topLeftCell="A29" zoomScaleNormal="100" zoomScaleSheetLayoutView="110" workbookViewId="0">
      <selection activeCell="C29" sqref="C29"/>
    </sheetView>
  </sheetViews>
  <sheetFormatPr defaultColWidth="9.140625" defaultRowHeight="12.75" x14ac:dyDescent="0.2"/>
  <cols>
    <col min="1" max="1" width="8.5703125" style="178" customWidth="1"/>
    <col min="2" max="2" width="16.28515625" style="178" customWidth="1"/>
    <col min="3" max="3" width="11.140625" style="178" customWidth="1"/>
    <col min="4" max="5" width="9.140625" style="178" customWidth="1"/>
    <col min="6" max="6" width="7.85546875" style="178" customWidth="1"/>
    <col min="7" max="7" width="8.42578125" style="178" customWidth="1"/>
    <col min="8" max="8" width="9.28515625" style="178" customWidth="1"/>
    <col min="9" max="9" width="10.28515625" style="178" customWidth="1"/>
    <col min="10" max="10" width="9.140625" style="178" customWidth="1"/>
    <col min="11" max="11" width="10.140625" style="178" customWidth="1"/>
    <col min="12" max="12" width="11" style="178" customWidth="1"/>
    <col min="13" max="16384" width="9.140625" style="178"/>
  </cols>
  <sheetData>
    <row r="1" spans="1:16" x14ac:dyDescent="0.2">
      <c r="G1" s="917"/>
      <c r="H1" s="917"/>
      <c r="K1" s="1082" t="s">
        <v>541</v>
      </c>
      <c r="L1" s="1082"/>
    </row>
    <row r="2" spans="1:16" x14ac:dyDescent="0.2">
      <c r="C2" s="917" t="s">
        <v>628</v>
      </c>
      <c r="D2" s="917"/>
      <c r="E2" s="917"/>
      <c r="F2" s="917"/>
      <c r="G2" s="917"/>
      <c r="H2" s="917"/>
      <c r="I2" s="917"/>
      <c r="K2" s="181"/>
    </row>
    <row r="3" spans="1:16" s="182" customFormat="1" ht="15.75" x14ac:dyDescent="0.25">
      <c r="A3" s="1079" t="s">
        <v>744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</row>
    <row r="4" spans="1:16" s="182" customFormat="1" ht="20.25" customHeight="1" x14ac:dyDescent="0.25">
      <c r="A4" s="1079" t="s">
        <v>817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</row>
    <row r="6" spans="1:16" x14ac:dyDescent="0.2">
      <c r="A6" s="183" t="s">
        <v>920</v>
      </c>
      <c r="B6" s="184"/>
      <c r="C6" s="185"/>
      <c r="D6" s="185"/>
      <c r="E6" s="185"/>
      <c r="F6" s="185"/>
      <c r="G6" s="185"/>
      <c r="H6" s="185"/>
      <c r="I6" s="185"/>
    </row>
    <row r="7" spans="1:16" x14ac:dyDescent="0.2">
      <c r="A7" s="183"/>
      <c r="B7" s="185"/>
      <c r="C7" s="185"/>
      <c r="D7" s="185"/>
      <c r="E7" s="185"/>
      <c r="F7" s="185"/>
      <c r="G7" s="185"/>
      <c r="H7" s="185"/>
      <c r="I7" s="185"/>
    </row>
    <row r="8" spans="1:16" x14ac:dyDescent="0.2">
      <c r="A8" s="183"/>
      <c r="B8" s="185"/>
      <c r="C8" s="185"/>
      <c r="D8" s="185"/>
      <c r="E8" s="185"/>
      <c r="F8" s="185"/>
      <c r="G8" s="185"/>
      <c r="H8" s="185"/>
      <c r="I8" s="185"/>
    </row>
    <row r="9" spans="1:16" x14ac:dyDescent="0.2">
      <c r="A9" s="1084" t="s">
        <v>704</v>
      </c>
      <c r="B9" s="1084"/>
      <c r="C9" s="1084"/>
      <c r="D9" s="1084"/>
      <c r="E9" s="1084"/>
      <c r="F9" s="190"/>
      <c r="G9" s="185"/>
      <c r="H9" s="185"/>
      <c r="I9" s="185"/>
    </row>
    <row r="10" spans="1:16" x14ac:dyDescent="0.2">
      <c r="A10" s="1084" t="s">
        <v>705</v>
      </c>
      <c r="B10" s="1084"/>
      <c r="C10" s="1084"/>
      <c r="D10" s="1084"/>
      <c r="E10" s="1084"/>
      <c r="F10" s="190"/>
      <c r="G10" s="185"/>
      <c r="H10" s="185"/>
      <c r="I10" s="185"/>
    </row>
    <row r="12" spans="1:16" s="186" customFormat="1" ht="15" customHeight="1" x14ac:dyDescent="0.2">
      <c r="A12" s="178"/>
      <c r="B12" s="178"/>
      <c r="C12" s="178"/>
      <c r="D12" s="178"/>
      <c r="E12" s="178"/>
      <c r="F12" s="178"/>
      <c r="G12" s="178"/>
      <c r="H12" s="178"/>
      <c r="I12" s="178"/>
      <c r="J12" s="927" t="s">
        <v>830</v>
      </c>
      <c r="K12" s="927"/>
      <c r="L12" s="927"/>
    </row>
    <row r="13" spans="1:16" s="186" customFormat="1" ht="20.25" customHeight="1" x14ac:dyDescent="0.2">
      <c r="A13" s="1009" t="s">
        <v>74</v>
      </c>
      <c r="B13" s="1009" t="s">
        <v>3</v>
      </c>
      <c r="C13" s="1078" t="s">
        <v>265</v>
      </c>
      <c r="D13" s="1083" t="s">
        <v>653</v>
      </c>
      <c r="E13" s="1083"/>
      <c r="F13" s="1083"/>
      <c r="G13" s="1083"/>
      <c r="H13" s="1083"/>
      <c r="I13" s="1083"/>
      <c r="J13" s="1083"/>
      <c r="K13" s="1083"/>
      <c r="L13" s="1083"/>
    </row>
    <row r="14" spans="1:16" s="186" customFormat="1" ht="35.25" customHeight="1" x14ac:dyDescent="0.2">
      <c r="A14" s="1009"/>
      <c r="B14" s="1009"/>
      <c r="C14" s="1078"/>
      <c r="D14" s="229" t="s">
        <v>823</v>
      </c>
      <c r="E14" s="229" t="s">
        <v>268</v>
      </c>
      <c r="F14" s="229" t="s">
        <v>269</v>
      </c>
      <c r="G14" s="229" t="s">
        <v>270</v>
      </c>
      <c r="H14" s="229" t="s">
        <v>271</v>
      </c>
      <c r="I14" s="229" t="s">
        <v>272</v>
      </c>
      <c r="J14" s="229" t="s">
        <v>273</v>
      </c>
      <c r="K14" s="229" t="s">
        <v>274</v>
      </c>
      <c r="L14" s="229" t="s">
        <v>824</v>
      </c>
      <c r="M14"/>
      <c r="N14"/>
      <c r="O14"/>
      <c r="P14"/>
    </row>
    <row r="15" spans="1:16" s="186" customFormat="1" ht="12.75" customHeight="1" x14ac:dyDescent="0.2">
      <c r="A15" s="189">
        <v>1</v>
      </c>
      <c r="B15" s="189">
        <v>2</v>
      </c>
      <c r="C15" s="189">
        <v>3</v>
      </c>
      <c r="D15" s="189">
        <v>4</v>
      </c>
      <c r="E15" s="189">
        <v>5</v>
      </c>
      <c r="F15" s="189">
        <v>6</v>
      </c>
      <c r="G15" s="189">
        <v>7</v>
      </c>
      <c r="H15" s="189">
        <v>8</v>
      </c>
      <c r="I15" s="189">
        <v>9</v>
      </c>
      <c r="J15" s="189">
        <v>10</v>
      </c>
      <c r="K15" s="189">
        <v>11</v>
      </c>
      <c r="L15" s="189">
        <v>12</v>
      </c>
      <c r="M15"/>
      <c r="N15"/>
      <c r="O15"/>
      <c r="P15"/>
    </row>
    <row r="16" spans="1:16" customFormat="1" x14ac:dyDescent="0.2">
      <c r="A16" s="17">
        <v>1</v>
      </c>
      <c r="B16" s="176" t="s">
        <v>896</v>
      </c>
      <c r="C16" s="375">
        <f>'AT-23 MIS'!C12</f>
        <v>2177</v>
      </c>
      <c r="D16" s="402">
        <v>1496</v>
      </c>
      <c r="E16" s="402">
        <v>1307</v>
      </c>
      <c r="F16" s="402">
        <v>1824</v>
      </c>
      <c r="G16" s="402">
        <v>2065</v>
      </c>
      <c r="H16" s="402">
        <v>2064</v>
      </c>
      <c r="I16" s="402">
        <v>2068</v>
      </c>
      <c r="J16" s="402">
        <v>2009</v>
      </c>
      <c r="K16" s="402">
        <v>2058</v>
      </c>
      <c r="L16" s="402">
        <v>2010</v>
      </c>
    </row>
    <row r="17" spans="1:12" customFormat="1" x14ac:dyDescent="0.2">
      <c r="A17" s="17">
        <v>2</v>
      </c>
      <c r="B17" s="176" t="s">
        <v>897</v>
      </c>
      <c r="C17" s="375">
        <f>'AT-23 MIS'!C13</f>
        <v>868</v>
      </c>
      <c r="D17" s="402">
        <v>663</v>
      </c>
      <c r="E17" s="402">
        <v>591</v>
      </c>
      <c r="F17" s="402">
        <v>619</v>
      </c>
      <c r="G17" s="402">
        <v>750</v>
      </c>
      <c r="H17" s="402">
        <v>742</v>
      </c>
      <c r="I17" s="402">
        <v>774</v>
      </c>
      <c r="J17" s="402">
        <v>819</v>
      </c>
      <c r="K17" s="402">
        <v>828</v>
      </c>
      <c r="L17" s="402">
        <v>819</v>
      </c>
    </row>
    <row r="18" spans="1:12" customFormat="1" x14ac:dyDescent="0.2">
      <c r="A18" s="17">
        <v>3</v>
      </c>
      <c r="B18" s="176" t="s">
        <v>898</v>
      </c>
      <c r="C18" s="375">
        <f>'AT-23 MIS'!C14</f>
        <v>491</v>
      </c>
      <c r="D18" s="402">
        <v>419</v>
      </c>
      <c r="E18" s="402">
        <v>396</v>
      </c>
      <c r="F18" s="402">
        <v>405</v>
      </c>
      <c r="G18" s="402">
        <v>444</v>
      </c>
      <c r="H18" s="402">
        <v>445</v>
      </c>
      <c r="I18" s="402">
        <v>451</v>
      </c>
      <c r="J18" s="402">
        <v>455</v>
      </c>
      <c r="K18" s="402">
        <v>462</v>
      </c>
      <c r="L18" s="402">
        <v>457</v>
      </c>
    </row>
    <row r="19" spans="1:12" customFormat="1" x14ac:dyDescent="0.2">
      <c r="A19" s="17">
        <v>4</v>
      </c>
      <c r="B19" s="176" t="s">
        <v>899</v>
      </c>
      <c r="C19" s="375">
        <f>'AT-23 MIS'!C15</f>
        <v>1519</v>
      </c>
      <c r="D19" s="402">
        <v>929</v>
      </c>
      <c r="E19" s="402">
        <v>925</v>
      </c>
      <c r="F19" s="402">
        <v>1110</v>
      </c>
      <c r="G19" s="402">
        <v>1225</v>
      </c>
      <c r="H19" s="402">
        <v>1226</v>
      </c>
      <c r="I19" s="402">
        <v>1196</v>
      </c>
      <c r="J19" s="402">
        <v>1191</v>
      </c>
      <c r="K19" s="402">
        <v>1241</v>
      </c>
      <c r="L19" s="402">
        <v>1163</v>
      </c>
    </row>
    <row r="20" spans="1:12" customFormat="1" x14ac:dyDescent="0.2">
      <c r="A20" s="17">
        <v>5</v>
      </c>
      <c r="B20" s="176" t="s">
        <v>900</v>
      </c>
      <c r="C20" s="375">
        <f>'AT-23 MIS'!C16</f>
        <v>968</v>
      </c>
      <c r="D20" s="402">
        <v>768</v>
      </c>
      <c r="E20" s="402">
        <v>655</v>
      </c>
      <c r="F20" s="402">
        <v>762</v>
      </c>
      <c r="G20" s="402">
        <v>879</v>
      </c>
      <c r="H20" s="402">
        <v>853</v>
      </c>
      <c r="I20" s="402">
        <v>843</v>
      </c>
      <c r="J20" s="402">
        <v>846</v>
      </c>
      <c r="K20" s="402">
        <v>847</v>
      </c>
      <c r="L20" s="402">
        <v>823</v>
      </c>
    </row>
    <row r="21" spans="1:12" customFormat="1" x14ac:dyDescent="0.2">
      <c r="A21" s="17">
        <v>6</v>
      </c>
      <c r="B21" s="176" t="s">
        <v>901</v>
      </c>
      <c r="C21" s="375">
        <f>'AT-23 MIS'!C17</f>
        <v>1621</v>
      </c>
      <c r="D21" s="402">
        <v>1491</v>
      </c>
      <c r="E21" s="402">
        <v>1443</v>
      </c>
      <c r="F21" s="402">
        <v>1432</v>
      </c>
      <c r="G21" s="402">
        <v>1520</v>
      </c>
      <c r="H21" s="402">
        <v>1558</v>
      </c>
      <c r="I21" s="402">
        <v>1577</v>
      </c>
      <c r="J21" s="402">
        <v>1578</v>
      </c>
      <c r="K21" s="402">
        <v>1588</v>
      </c>
      <c r="L21" s="402">
        <v>1586</v>
      </c>
    </row>
    <row r="22" spans="1:12" customFormat="1" x14ac:dyDescent="0.2">
      <c r="A22" s="17">
        <v>7</v>
      </c>
      <c r="B22" s="176" t="s">
        <v>902</v>
      </c>
      <c r="C22" s="375">
        <f>'AT-23 MIS'!C18</f>
        <v>1381</v>
      </c>
      <c r="D22" s="402">
        <v>1171</v>
      </c>
      <c r="E22" s="402">
        <v>1054</v>
      </c>
      <c r="F22" s="402">
        <v>1183</v>
      </c>
      <c r="G22" s="402">
        <v>1320</v>
      </c>
      <c r="H22" s="402">
        <v>1308</v>
      </c>
      <c r="I22" s="402">
        <v>1303</v>
      </c>
      <c r="J22" s="402">
        <v>1284</v>
      </c>
      <c r="K22" s="402">
        <v>1278</v>
      </c>
      <c r="L22" s="402">
        <v>1231</v>
      </c>
    </row>
    <row r="23" spans="1:12" customFormat="1" x14ac:dyDescent="0.2">
      <c r="A23" s="17">
        <v>8</v>
      </c>
      <c r="B23" s="176" t="s">
        <v>903</v>
      </c>
      <c r="C23" s="375">
        <f>'AT-23 MIS'!C19</f>
        <v>2066</v>
      </c>
      <c r="D23" s="402">
        <v>1617</v>
      </c>
      <c r="E23" s="402">
        <v>1510</v>
      </c>
      <c r="F23" s="402">
        <v>1689</v>
      </c>
      <c r="G23" s="402">
        <v>1950</v>
      </c>
      <c r="H23" s="402">
        <v>1918</v>
      </c>
      <c r="I23" s="402">
        <v>1941</v>
      </c>
      <c r="J23" s="402">
        <v>1945</v>
      </c>
      <c r="K23" s="402">
        <v>1940</v>
      </c>
      <c r="L23" s="402">
        <v>1896</v>
      </c>
    </row>
    <row r="24" spans="1:12" customFormat="1" x14ac:dyDescent="0.2">
      <c r="A24" s="17">
        <v>9</v>
      </c>
      <c r="B24" s="176" t="s">
        <v>904</v>
      </c>
      <c r="C24" s="375">
        <f>'AT-23 MIS'!C20</f>
        <v>2499</v>
      </c>
      <c r="D24" s="402">
        <v>1985</v>
      </c>
      <c r="E24" s="402">
        <v>1840</v>
      </c>
      <c r="F24" s="402">
        <v>1888</v>
      </c>
      <c r="G24" s="402">
        <v>2175</v>
      </c>
      <c r="H24" s="402">
        <v>2161</v>
      </c>
      <c r="I24" s="402">
        <v>2130</v>
      </c>
      <c r="J24" s="402">
        <v>2088</v>
      </c>
      <c r="K24" s="402">
        <v>2014</v>
      </c>
      <c r="L24" s="402">
        <v>2046</v>
      </c>
    </row>
    <row r="25" spans="1:12" customFormat="1" x14ac:dyDescent="0.2">
      <c r="A25" s="17">
        <v>10</v>
      </c>
      <c r="B25" s="176" t="s">
        <v>905</v>
      </c>
      <c r="C25" s="375">
        <f>'AT-23 MIS'!C21</f>
        <v>1037</v>
      </c>
      <c r="D25" s="402">
        <v>753</v>
      </c>
      <c r="E25" s="402">
        <v>676</v>
      </c>
      <c r="F25" s="402">
        <v>800</v>
      </c>
      <c r="G25" s="402">
        <v>930</v>
      </c>
      <c r="H25" s="402">
        <v>930</v>
      </c>
      <c r="I25" s="402">
        <v>945</v>
      </c>
      <c r="J25" s="402">
        <v>942</v>
      </c>
      <c r="K25" s="402">
        <v>932</v>
      </c>
      <c r="L25" s="402">
        <v>939</v>
      </c>
    </row>
    <row r="26" spans="1:12" customFormat="1" x14ac:dyDescent="0.2">
      <c r="A26" s="17">
        <v>11</v>
      </c>
      <c r="B26" s="176" t="s">
        <v>906</v>
      </c>
      <c r="C26" s="375">
        <f>'AT-23 MIS'!C22</f>
        <v>1420</v>
      </c>
      <c r="D26" s="402">
        <v>951</v>
      </c>
      <c r="E26" s="402">
        <v>885</v>
      </c>
      <c r="F26" s="402">
        <v>1041</v>
      </c>
      <c r="G26" s="402">
        <v>1150</v>
      </c>
      <c r="H26" s="402">
        <v>1226</v>
      </c>
      <c r="I26" s="402">
        <v>1235</v>
      </c>
      <c r="J26" s="402">
        <v>1271</v>
      </c>
      <c r="K26" s="402">
        <v>1220</v>
      </c>
      <c r="L26" s="402">
        <v>1246</v>
      </c>
    </row>
    <row r="27" spans="1:12" customFormat="1" x14ac:dyDescent="0.2">
      <c r="A27" s="17">
        <v>12</v>
      </c>
      <c r="B27" s="269" t="s">
        <v>907</v>
      </c>
      <c r="C27" s="375">
        <f>'AT-23 MIS'!C23</f>
        <v>1479</v>
      </c>
      <c r="D27" s="402">
        <v>996</v>
      </c>
      <c r="E27" s="402">
        <v>873</v>
      </c>
      <c r="F27" s="402">
        <v>888</v>
      </c>
      <c r="G27" s="402">
        <v>1139</v>
      </c>
      <c r="H27" s="402">
        <v>1161</v>
      </c>
      <c r="I27" s="402">
        <v>1424</v>
      </c>
      <c r="J27" s="402">
        <v>1440</v>
      </c>
      <c r="K27" s="402">
        <v>1438</v>
      </c>
      <c r="L27" s="402">
        <v>1416</v>
      </c>
    </row>
    <row r="28" spans="1:12" customFormat="1" x14ac:dyDescent="0.2">
      <c r="A28" s="17">
        <v>13</v>
      </c>
      <c r="B28" s="176" t="s">
        <v>908</v>
      </c>
      <c r="C28" s="375">
        <f>'AT-23 MIS'!C24</f>
        <v>587</v>
      </c>
      <c r="D28" s="402">
        <v>476</v>
      </c>
      <c r="E28" s="402">
        <v>455</v>
      </c>
      <c r="F28" s="402">
        <v>456</v>
      </c>
      <c r="G28" s="402">
        <v>499</v>
      </c>
      <c r="H28" s="402">
        <v>528</v>
      </c>
      <c r="I28" s="402">
        <v>536</v>
      </c>
      <c r="J28" s="402">
        <v>551</v>
      </c>
      <c r="K28" s="402">
        <v>541</v>
      </c>
      <c r="L28" s="402">
        <v>518</v>
      </c>
    </row>
    <row r="29" spans="1:12" customFormat="1" x14ac:dyDescent="0.2">
      <c r="A29" s="17">
        <v>14</v>
      </c>
      <c r="B29" s="176" t="s">
        <v>909</v>
      </c>
      <c r="C29" s="375">
        <f>'AT-23 MIS'!C25</f>
        <v>659</v>
      </c>
      <c r="D29" s="402">
        <v>533</v>
      </c>
      <c r="E29" s="402">
        <v>466</v>
      </c>
      <c r="F29" s="402">
        <v>463</v>
      </c>
      <c r="G29" s="402">
        <v>572</v>
      </c>
      <c r="H29" s="402">
        <v>573</v>
      </c>
      <c r="I29" s="402">
        <v>579</v>
      </c>
      <c r="J29" s="402">
        <v>582</v>
      </c>
      <c r="K29" s="402">
        <v>559</v>
      </c>
      <c r="L29" s="402">
        <v>543</v>
      </c>
    </row>
    <row r="30" spans="1:12" customFormat="1" x14ac:dyDescent="0.2">
      <c r="A30" s="17">
        <v>15</v>
      </c>
      <c r="B30" s="176" t="s">
        <v>910</v>
      </c>
      <c r="C30" s="375">
        <f>'AT-23 MIS'!C26</f>
        <v>1539</v>
      </c>
      <c r="D30" s="402">
        <v>1177</v>
      </c>
      <c r="E30" s="402">
        <v>1078</v>
      </c>
      <c r="F30" s="402">
        <v>1300</v>
      </c>
      <c r="G30" s="402">
        <v>1444</v>
      </c>
      <c r="H30" s="402">
        <v>1452</v>
      </c>
      <c r="I30" s="402">
        <v>1451</v>
      </c>
      <c r="J30" s="402">
        <v>1428</v>
      </c>
      <c r="K30" s="402">
        <v>1403</v>
      </c>
      <c r="L30" s="402">
        <v>1366</v>
      </c>
    </row>
    <row r="31" spans="1:12" customFormat="1" x14ac:dyDescent="0.2">
      <c r="A31" s="17">
        <v>16</v>
      </c>
      <c r="B31" s="176" t="s">
        <v>911</v>
      </c>
      <c r="C31" s="375">
        <f>'AT-23 MIS'!C27</f>
        <v>3136</v>
      </c>
      <c r="D31" s="402">
        <v>2329</v>
      </c>
      <c r="E31" s="402">
        <v>1917</v>
      </c>
      <c r="F31" s="402">
        <v>2680</v>
      </c>
      <c r="G31" s="402">
        <v>2890</v>
      </c>
      <c r="H31" s="402">
        <v>2790</v>
      </c>
      <c r="I31" s="402">
        <v>2810</v>
      </c>
      <c r="J31" s="402">
        <v>2730</v>
      </c>
      <c r="K31" s="402">
        <v>2678</v>
      </c>
      <c r="L31" s="402">
        <v>2567</v>
      </c>
    </row>
    <row r="32" spans="1:12" customFormat="1" x14ac:dyDescent="0.2">
      <c r="A32" s="17">
        <v>17</v>
      </c>
      <c r="B32" s="176" t="s">
        <v>912</v>
      </c>
      <c r="C32" s="375">
        <f>'AT-23 MIS'!C28</f>
        <v>1694</v>
      </c>
      <c r="D32" s="402">
        <v>1585</v>
      </c>
      <c r="E32" s="402">
        <v>1444</v>
      </c>
      <c r="F32" s="402">
        <v>1575</v>
      </c>
      <c r="G32" s="402">
        <v>1649</v>
      </c>
      <c r="H32" s="402">
        <v>1634</v>
      </c>
      <c r="I32" s="402">
        <v>1660</v>
      </c>
      <c r="J32" s="402">
        <v>1653</v>
      </c>
      <c r="K32" s="402">
        <v>1645</v>
      </c>
      <c r="L32" s="402">
        <v>1608</v>
      </c>
    </row>
    <row r="33" spans="1:16" customFormat="1" x14ac:dyDescent="0.2">
      <c r="A33" s="17">
        <v>18</v>
      </c>
      <c r="B33" s="176" t="s">
        <v>913</v>
      </c>
      <c r="C33" s="375">
        <f>'AT-23 MIS'!C29</f>
        <v>1522</v>
      </c>
      <c r="D33" s="402">
        <v>1476</v>
      </c>
      <c r="E33" s="402">
        <v>1395</v>
      </c>
      <c r="F33" s="402">
        <v>1400</v>
      </c>
      <c r="G33" s="402">
        <v>1482</v>
      </c>
      <c r="H33" s="402">
        <v>1470</v>
      </c>
      <c r="I33" s="402">
        <v>1471</v>
      </c>
      <c r="J33" s="402">
        <v>1471</v>
      </c>
      <c r="K33" s="402">
        <v>1453</v>
      </c>
      <c r="L33" s="402">
        <v>1413</v>
      </c>
    </row>
    <row r="34" spans="1:16" customFormat="1" x14ac:dyDescent="0.2">
      <c r="A34" s="17">
        <v>19</v>
      </c>
      <c r="B34" s="176" t="s">
        <v>914</v>
      </c>
      <c r="C34" s="375">
        <f>'AT-23 MIS'!C30</f>
        <v>2314</v>
      </c>
      <c r="D34" s="402">
        <v>1732</v>
      </c>
      <c r="E34" s="402">
        <v>1493</v>
      </c>
      <c r="F34" s="402">
        <v>1580</v>
      </c>
      <c r="G34" s="402">
        <v>1883</v>
      </c>
      <c r="H34" s="402">
        <v>1870</v>
      </c>
      <c r="I34" s="402">
        <v>1834</v>
      </c>
      <c r="J34" s="402">
        <v>1731</v>
      </c>
      <c r="K34" s="402">
        <v>1694</v>
      </c>
      <c r="L34" s="402">
        <v>1622</v>
      </c>
    </row>
    <row r="35" spans="1:16" customFormat="1" x14ac:dyDescent="0.2">
      <c r="A35" s="17">
        <v>20</v>
      </c>
      <c r="B35" s="176" t="s">
        <v>915</v>
      </c>
      <c r="C35" s="375">
        <f>'AT-23 MIS'!C31</f>
        <v>1015</v>
      </c>
      <c r="D35" s="402">
        <v>879</v>
      </c>
      <c r="E35" s="402">
        <v>792</v>
      </c>
      <c r="F35" s="402">
        <v>855</v>
      </c>
      <c r="G35" s="402">
        <v>913</v>
      </c>
      <c r="H35" s="402">
        <v>917</v>
      </c>
      <c r="I35" s="402">
        <v>945</v>
      </c>
      <c r="J35" s="402">
        <v>932</v>
      </c>
      <c r="K35" s="402">
        <v>919</v>
      </c>
      <c r="L35" s="402">
        <v>905</v>
      </c>
    </row>
    <row r="36" spans="1:16" customFormat="1" x14ac:dyDescent="0.2">
      <c r="A36" s="17">
        <v>21</v>
      </c>
      <c r="B36" s="176" t="s">
        <v>916</v>
      </c>
      <c r="C36" s="375">
        <f>'AT-23 MIS'!C32</f>
        <v>1286</v>
      </c>
      <c r="D36" s="402">
        <v>1008</v>
      </c>
      <c r="E36" s="402">
        <v>910</v>
      </c>
      <c r="F36" s="402">
        <v>901</v>
      </c>
      <c r="G36" s="402">
        <v>1018</v>
      </c>
      <c r="H36" s="402">
        <v>1022</v>
      </c>
      <c r="I36" s="402">
        <v>996</v>
      </c>
      <c r="J36" s="402">
        <v>946</v>
      </c>
      <c r="K36" s="402">
        <v>949</v>
      </c>
      <c r="L36" s="402">
        <v>901</v>
      </c>
    </row>
    <row r="37" spans="1:16" customFormat="1" x14ac:dyDescent="0.2">
      <c r="A37" s="17">
        <v>22</v>
      </c>
      <c r="B37" s="176" t="s">
        <v>917</v>
      </c>
      <c r="C37" s="375">
        <f>'AT-23 MIS'!C33</f>
        <v>1011</v>
      </c>
      <c r="D37" s="402">
        <v>725</v>
      </c>
      <c r="E37" s="402">
        <v>650</v>
      </c>
      <c r="F37" s="402">
        <v>741</v>
      </c>
      <c r="G37" s="402">
        <v>897</v>
      </c>
      <c r="H37" s="402">
        <v>932</v>
      </c>
      <c r="I37" s="402">
        <v>928</v>
      </c>
      <c r="J37" s="402">
        <v>900</v>
      </c>
      <c r="K37" s="402">
        <v>901</v>
      </c>
      <c r="L37" s="402">
        <v>872</v>
      </c>
    </row>
    <row r="38" spans="1:16" customFormat="1" x14ac:dyDescent="0.2">
      <c r="A38" s="17">
        <v>23</v>
      </c>
      <c r="B38" s="176" t="s">
        <v>918</v>
      </c>
      <c r="C38" s="375">
        <f>'AT-23 MIS'!C34</f>
        <v>1540</v>
      </c>
      <c r="D38" s="402">
        <v>1293</v>
      </c>
      <c r="E38" s="402">
        <v>1216</v>
      </c>
      <c r="F38" s="402">
        <v>1175</v>
      </c>
      <c r="G38" s="402">
        <v>1236</v>
      </c>
      <c r="H38" s="402">
        <v>1234</v>
      </c>
      <c r="I38" s="402">
        <v>1313</v>
      </c>
      <c r="J38" s="402">
        <v>1280</v>
      </c>
      <c r="K38" s="402">
        <v>1282</v>
      </c>
      <c r="L38" s="402">
        <v>1243</v>
      </c>
    </row>
    <row r="39" spans="1:16" customFormat="1" x14ac:dyDescent="0.2">
      <c r="A39" s="17">
        <v>24</v>
      </c>
      <c r="B39" s="18" t="s">
        <v>919</v>
      </c>
      <c r="C39" s="375">
        <f>'AT-23 MIS'!C35</f>
        <v>1945</v>
      </c>
      <c r="D39" s="402">
        <v>1480</v>
      </c>
      <c r="E39" s="402">
        <v>1376</v>
      </c>
      <c r="F39" s="402">
        <v>1505</v>
      </c>
      <c r="G39" s="402">
        <v>1749</v>
      </c>
      <c r="H39" s="402">
        <v>1742</v>
      </c>
      <c r="I39" s="402">
        <v>1952</v>
      </c>
      <c r="J39" s="402">
        <v>1917</v>
      </c>
      <c r="K39" s="402">
        <v>1893</v>
      </c>
      <c r="L39" s="402">
        <v>1868</v>
      </c>
    </row>
    <row r="40" spans="1:16" x14ac:dyDescent="0.2">
      <c r="A40" s="1081" t="s">
        <v>18</v>
      </c>
      <c r="B40" s="1081"/>
      <c r="C40" s="403">
        <f t="shared" ref="C40:L40" si="0">SUM(C16:C39)</f>
        <v>35774</v>
      </c>
      <c r="D40" s="403">
        <f t="shared" si="0"/>
        <v>27932</v>
      </c>
      <c r="E40" s="403">
        <f t="shared" si="0"/>
        <v>25347</v>
      </c>
      <c r="F40" s="403">
        <f t="shared" si="0"/>
        <v>28272</v>
      </c>
      <c r="G40" s="403">
        <f t="shared" si="0"/>
        <v>31779</v>
      </c>
      <c r="H40" s="403">
        <f t="shared" si="0"/>
        <v>31756</v>
      </c>
      <c r="I40" s="403">
        <f t="shared" si="0"/>
        <v>32362</v>
      </c>
      <c r="J40" s="403">
        <f t="shared" si="0"/>
        <v>31989</v>
      </c>
      <c r="K40" s="403">
        <f t="shared" si="0"/>
        <v>31763</v>
      </c>
      <c r="L40" s="403">
        <f t="shared" si="0"/>
        <v>31058</v>
      </c>
    </row>
    <row r="43" spans="1:16" x14ac:dyDescent="0.2">
      <c r="A43" s="11" t="s">
        <v>22</v>
      </c>
    </row>
    <row r="44" spans="1:16" x14ac:dyDescent="0.2">
      <c r="I44" s="821" t="s">
        <v>12</v>
      </c>
      <c r="J44" s="821"/>
      <c r="K44" s="469"/>
      <c r="L44"/>
      <c r="M44" s="821"/>
      <c r="N44" s="821"/>
      <c r="O44" s="469"/>
      <c r="P44"/>
    </row>
    <row r="45" spans="1:16" x14ac:dyDescent="0.2">
      <c r="I45" s="821" t="s">
        <v>13</v>
      </c>
      <c r="J45" s="821"/>
      <c r="K45" s="821"/>
      <c r="L45"/>
      <c r="M45" s="821"/>
      <c r="N45" s="821"/>
      <c r="O45" s="821"/>
      <c r="P45"/>
    </row>
    <row r="46" spans="1:16" x14ac:dyDescent="0.2">
      <c r="I46" s="842" t="s">
        <v>19</v>
      </c>
      <c r="J46" s="842"/>
      <c r="K46" s="842"/>
      <c r="L46" s="842"/>
      <c r="M46" s="842"/>
      <c r="N46" s="842"/>
      <c r="O46" s="842"/>
      <c r="P46" s="842"/>
    </row>
    <row r="47" spans="1:16" x14ac:dyDescent="0.2">
      <c r="I47" s="33" t="s">
        <v>23</v>
      </c>
      <c r="J47" s="469"/>
      <c r="K47" s="469"/>
      <c r="L47"/>
      <c r="M47" s="33"/>
      <c r="N47" s="469"/>
      <c r="O47" s="469"/>
      <c r="P47"/>
    </row>
  </sheetData>
  <mergeCells count="19">
    <mergeCell ref="M44:N44"/>
    <mergeCell ref="M45:O45"/>
    <mergeCell ref="M46:P46"/>
    <mergeCell ref="I44:J44"/>
    <mergeCell ref="I45:K45"/>
    <mergeCell ref="I46:L46"/>
    <mergeCell ref="K1:L1"/>
    <mergeCell ref="G1:H1"/>
    <mergeCell ref="A3:L3"/>
    <mergeCell ref="A4:L4"/>
    <mergeCell ref="A40:B40"/>
    <mergeCell ref="A13:A14"/>
    <mergeCell ref="B13:B14"/>
    <mergeCell ref="C13:C14"/>
    <mergeCell ref="C2:I2"/>
    <mergeCell ref="D13:L13"/>
    <mergeCell ref="J12:L12"/>
    <mergeCell ref="A9:E9"/>
    <mergeCell ref="A10:E10"/>
  </mergeCells>
  <printOptions horizontalCentered="1"/>
  <pageMargins left="0.70866141732283505" right="0.16" top="0.23622047244094499" bottom="0" header="0.24" footer="0.16"/>
  <pageSetup paperSize="9" scale="9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P53"/>
  <sheetViews>
    <sheetView topLeftCell="A7" zoomScale="80" zoomScaleNormal="80" zoomScaleSheetLayoutView="80" workbookViewId="0">
      <selection activeCell="C29" sqref="C29"/>
    </sheetView>
  </sheetViews>
  <sheetFormatPr defaultRowHeight="12.75" x14ac:dyDescent="0.2"/>
  <cols>
    <col min="2" max="2" width="17.85546875" bestFit="1" customWidth="1"/>
    <col min="3" max="3" width="13.5703125" customWidth="1"/>
    <col min="4" max="4" width="13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A1" s="9"/>
      <c r="B1" s="9"/>
      <c r="C1" s="1012" t="s">
        <v>0</v>
      </c>
      <c r="D1" s="1012"/>
      <c r="E1" s="1012"/>
      <c r="F1" s="1012"/>
      <c r="G1" s="1012"/>
      <c r="H1" s="1012"/>
      <c r="I1" s="1012"/>
      <c r="J1" s="670"/>
      <c r="K1" s="670"/>
      <c r="L1" s="1087" t="s">
        <v>524</v>
      </c>
      <c r="M1" s="1087"/>
      <c r="N1" s="202"/>
      <c r="O1" s="202"/>
      <c r="P1" s="202"/>
    </row>
    <row r="2" spans="1:16" ht="21" x14ac:dyDescent="0.35">
      <c r="A2" s="9"/>
      <c r="B2" s="1013" t="s">
        <v>740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675"/>
      <c r="N2" s="203"/>
      <c r="O2" s="203"/>
      <c r="P2" s="203"/>
    </row>
    <row r="3" spans="1:16" ht="21" x14ac:dyDescent="0.35">
      <c r="A3" s="9"/>
      <c r="B3" s="9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203"/>
      <c r="O3" s="203"/>
      <c r="P3" s="203"/>
    </row>
    <row r="4" spans="1:16" ht="20.25" customHeight="1" x14ac:dyDescent="0.2">
      <c r="A4" s="1089" t="s">
        <v>523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</row>
    <row r="5" spans="1:16" ht="20.25" customHeight="1" x14ac:dyDescent="0.25">
      <c r="A5" s="1090" t="s">
        <v>923</v>
      </c>
      <c r="B5" s="1090"/>
      <c r="C5" s="1090"/>
      <c r="D5" s="1090"/>
      <c r="E5" s="1090"/>
      <c r="F5" s="1090"/>
      <c r="G5" s="1090"/>
      <c r="H5" s="1088" t="s">
        <v>830</v>
      </c>
      <c r="I5" s="1088"/>
      <c r="J5" s="1088"/>
      <c r="K5" s="1088"/>
      <c r="L5" s="1088"/>
      <c r="M5" s="1088"/>
    </row>
    <row r="6" spans="1:16" ht="15" customHeight="1" x14ac:dyDescent="0.2">
      <c r="A6" s="1003" t="s">
        <v>74</v>
      </c>
      <c r="B6" s="1003" t="s">
        <v>286</v>
      </c>
      <c r="C6" s="1003" t="s">
        <v>416</v>
      </c>
      <c r="D6" s="1003"/>
      <c r="E6" s="1003"/>
      <c r="F6" s="1003"/>
      <c r="G6" s="1003"/>
      <c r="H6" s="1003" t="s">
        <v>413</v>
      </c>
      <c r="I6" s="1003"/>
      <c r="J6" s="1003"/>
      <c r="K6" s="1003"/>
      <c r="L6" s="1003"/>
      <c r="M6" s="1091" t="s">
        <v>287</v>
      </c>
    </row>
    <row r="7" spans="1:16" ht="12.75" customHeight="1" x14ac:dyDescent="0.2">
      <c r="A7" s="1003"/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91"/>
    </row>
    <row r="8" spans="1:16" ht="5.25" customHeight="1" x14ac:dyDescent="0.2">
      <c r="A8" s="1003"/>
      <c r="B8" s="1003"/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91"/>
    </row>
    <row r="9" spans="1:16" ht="68.25" customHeight="1" x14ac:dyDescent="0.2">
      <c r="A9" s="1003"/>
      <c r="B9" s="1003"/>
      <c r="C9" s="206" t="s">
        <v>288</v>
      </c>
      <c r="D9" s="206" t="s">
        <v>289</v>
      </c>
      <c r="E9" s="206" t="s">
        <v>290</v>
      </c>
      <c r="F9" s="206" t="s">
        <v>291</v>
      </c>
      <c r="G9" s="645" t="s">
        <v>292</v>
      </c>
      <c r="H9" s="645" t="s">
        <v>412</v>
      </c>
      <c r="I9" s="645" t="s">
        <v>417</v>
      </c>
      <c r="J9" s="645" t="s">
        <v>414</v>
      </c>
      <c r="K9" s="645" t="s">
        <v>415</v>
      </c>
      <c r="L9" s="645" t="s">
        <v>47</v>
      </c>
      <c r="M9" s="1091"/>
    </row>
    <row r="10" spans="1:16" ht="15" x14ac:dyDescent="0.25">
      <c r="A10" s="207">
        <v>1</v>
      </c>
      <c r="B10" s="207">
        <v>2</v>
      </c>
      <c r="C10" s="207">
        <v>3</v>
      </c>
      <c r="D10" s="207">
        <v>4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07">
        <v>10</v>
      </c>
      <c r="K10" s="207">
        <v>11</v>
      </c>
      <c r="L10" s="207">
        <v>12</v>
      </c>
      <c r="M10" s="207">
        <v>13</v>
      </c>
    </row>
    <row r="11" spans="1:16" s="46" customFormat="1" ht="14.25" x14ac:dyDescent="0.2">
      <c r="A11" s="50">
        <v>1</v>
      </c>
      <c r="B11" s="271" t="s">
        <v>896</v>
      </c>
      <c r="C11" s="1085" t="s">
        <v>953</v>
      </c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</row>
    <row r="12" spans="1:16" s="46" customFormat="1" ht="14.25" x14ac:dyDescent="0.2">
      <c r="A12" s="50">
        <v>2</v>
      </c>
      <c r="B12" s="271" t="s">
        <v>897</v>
      </c>
      <c r="C12" s="1086"/>
      <c r="D12" s="1086"/>
      <c r="E12" s="1086"/>
      <c r="F12" s="1086"/>
      <c r="G12" s="1086"/>
      <c r="H12" s="1086"/>
      <c r="I12" s="1086"/>
      <c r="J12" s="1086"/>
      <c r="K12" s="1086"/>
      <c r="L12" s="1086"/>
      <c r="M12" s="1086"/>
    </row>
    <row r="13" spans="1:16" s="46" customFormat="1" ht="14.25" x14ac:dyDescent="0.2">
      <c r="A13" s="50">
        <v>3</v>
      </c>
      <c r="B13" s="271" t="s">
        <v>898</v>
      </c>
      <c r="C13" s="1086"/>
      <c r="D13" s="1086"/>
      <c r="E13" s="1086"/>
      <c r="F13" s="1086"/>
      <c r="G13" s="1086"/>
      <c r="H13" s="1086"/>
      <c r="I13" s="1086"/>
      <c r="J13" s="1086"/>
      <c r="K13" s="1086"/>
      <c r="L13" s="1086"/>
      <c r="M13" s="1086"/>
    </row>
    <row r="14" spans="1:16" s="46" customFormat="1" ht="14.25" x14ac:dyDescent="0.2">
      <c r="A14" s="50">
        <v>4</v>
      </c>
      <c r="B14" s="271" t="s">
        <v>899</v>
      </c>
      <c r="C14" s="1086"/>
      <c r="D14" s="1086"/>
      <c r="E14" s="1086"/>
      <c r="F14" s="1086"/>
      <c r="G14" s="1086"/>
      <c r="H14" s="1086"/>
      <c r="I14" s="1086"/>
      <c r="J14" s="1086"/>
      <c r="K14" s="1086"/>
      <c r="L14" s="1086"/>
      <c r="M14" s="1086"/>
    </row>
    <row r="15" spans="1:16" s="46" customFormat="1" ht="14.25" x14ac:dyDescent="0.2">
      <c r="A15" s="50">
        <v>5</v>
      </c>
      <c r="B15" s="271" t="s">
        <v>900</v>
      </c>
      <c r="C15" s="1086"/>
      <c r="D15" s="1086"/>
      <c r="E15" s="1086"/>
      <c r="F15" s="1086"/>
      <c r="G15" s="1086"/>
      <c r="H15" s="1086"/>
      <c r="I15" s="1086"/>
      <c r="J15" s="1086"/>
      <c r="K15" s="1086"/>
      <c r="L15" s="1086"/>
      <c r="M15" s="1086"/>
    </row>
    <row r="16" spans="1:16" s="46" customFormat="1" ht="14.25" x14ac:dyDescent="0.2">
      <c r="A16" s="50">
        <v>6</v>
      </c>
      <c r="B16" s="271" t="s">
        <v>901</v>
      </c>
      <c r="C16" s="1086"/>
      <c r="D16" s="1086"/>
      <c r="E16" s="1086"/>
      <c r="F16" s="1086"/>
      <c r="G16" s="1086"/>
      <c r="H16" s="1086"/>
      <c r="I16" s="1086"/>
      <c r="J16" s="1086"/>
      <c r="K16" s="1086"/>
      <c r="L16" s="1086"/>
      <c r="M16" s="1086"/>
    </row>
    <row r="17" spans="1:13" s="46" customFormat="1" ht="14.25" x14ac:dyDescent="0.2">
      <c r="A17" s="50">
        <v>7</v>
      </c>
      <c r="B17" s="271" t="s">
        <v>902</v>
      </c>
      <c r="C17" s="1086"/>
      <c r="D17" s="1086"/>
      <c r="E17" s="1086"/>
      <c r="F17" s="1086"/>
      <c r="G17" s="1086"/>
      <c r="H17" s="1086"/>
      <c r="I17" s="1086"/>
      <c r="J17" s="1086"/>
      <c r="K17" s="1086"/>
      <c r="L17" s="1086"/>
      <c r="M17" s="1086"/>
    </row>
    <row r="18" spans="1:13" s="46" customFormat="1" ht="14.25" x14ac:dyDescent="0.2">
      <c r="A18" s="50">
        <v>8</v>
      </c>
      <c r="B18" s="271" t="s">
        <v>903</v>
      </c>
      <c r="C18" s="1086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</row>
    <row r="19" spans="1:13" s="46" customFormat="1" ht="14.25" x14ac:dyDescent="0.2">
      <c r="A19" s="50">
        <v>9</v>
      </c>
      <c r="B19" s="271" t="s">
        <v>904</v>
      </c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</row>
    <row r="20" spans="1:13" s="46" customFormat="1" ht="14.25" x14ac:dyDescent="0.2">
      <c r="A20" s="50">
        <v>10</v>
      </c>
      <c r="B20" s="271" t="s">
        <v>905</v>
      </c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</row>
    <row r="21" spans="1:13" s="46" customFormat="1" ht="14.25" x14ac:dyDescent="0.2">
      <c r="A21" s="50">
        <v>11</v>
      </c>
      <c r="B21" s="271" t="s">
        <v>906</v>
      </c>
      <c r="C21" s="1086"/>
      <c r="D21" s="1086"/>
      <c r="E21" s="1086"/>
      <c r="F21" s="1086"/>
      <c r="G21" s="1086"/>
      <c r="H21" s="1086"/>
      <c r="I21" s="1086"/>
      <c r="J21" s="1086"/>
      <c r="K21" s="1086"/>
      <c r="L21" s="1086"/>
      <c r="M21" s="1086"/>
    </row>
    <row r="22" spans="1:13" s="46" customFormat="1" ht="14.25" x14ac:dyDescent="0.2">
      <c r="A22" s="50">
        <v>12</v>
      </c>
      <c r="B22" s="271" t="s">
        <v>907</v>
      </c>
      <c r="C22" s="1086"/>
      <c r="D22" s="1086"/>
      <c r="E22" s="1086"/>
      <c r="F22" s="1086"/>
      <c r="G22" s="1086"/>
      <c r="H22" s="1086"/>
      <c r="I22" s="1086"/>
      <c r="J22" s="1086"/>
      <c r="K22" s="1086"/>
      <c r="L22" s="1086"/>
      <c r="M22" s="1086"/>
    </row>
    <row r="23" spans="1:13" s="46" customFormat="1" ht="14.25" x14ac:dyDescent="0.2">
      <c r="A23" s="50">
        <v>13</v>
      </c>
      <c r="B23" s="271" t="s">
        <v>908</v>
      </c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</row>
    <row r="24" spans="1:13" s="46" customFormat="1" ht="14.25" x14ac:dyDescent="0.2">
      <c r="A24" s="50">
        <v>14</v>
      </c>
      <c r="B24" s="271" t="s">
        <v>909</v>
      </c>
      <c r="C24" s="1086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</row>
    <row r="25" spans="1:13" s="46" customFormat="1" ht="14.25" x14ac:dyDescent="0.2">
      <c r="A25" s="50">
        <v>15</v>
      </c>
      <c r="B25" s="271" t="s">
        <v>910</v>
      </c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</row>
    <row r="26" spans="1:13" s="46" customFormat="1" ht="14.25" x14ac:dyDescent="0.2">
      <c r="A26" s="50">
        <v>16</v>
      </c>
      <c r="B26" s="271" t="s">
        <v>911</v>
      </c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  <c r="M26" s="1086"/>
    </row>
    <row r="27" spans="1:13" s="46" customFormat="1" ht="16.5" customHeight="1" x14ac:dyDescent="0.2">
      <c r="A27" s="50">
        <v>17</v>
      </c>
      <c r="B27" s="271" t="s">
        <v>912</v>
      </c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</row>
    <row r="28" spans="1:13" s="46" customFormat="1" ht="14.25" x14ac:dyDescent="0.2">
      <c r="A28" s="50">
        <v>18</v>
      </c>
      <c r="B28" s="271" t="s">
        <v>913</v>
      </c>
      <c r="C28" s="1086"/>
      <c r="D28" s="1086"/>
      <c r="E28" s="1086"/>
      <c r="F28" s="1086"/>
      <c r="G28" s="1086"/>
      <c r="H28" s="1086"/>
      <c r="I28" s="1086"/>
      <c r="J28" s="1086"/>
      <c r="K28" s="1086"/>
      <c r="L28" s="1086"/>
      <c r="M28" s="1086"/>
    </row>
    <row r="29" spans="1:13" s="46" customFormat="1" ht="14.25" x14ac:dyDescent="0.2">
      <c r="A29" s="50">
        <v>19</v>
      </c>
      <c r="B29" s="271" t="s">
        <v>914</v>
      </c>
      <c r="C29" s="1086"/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</row>
    <row r="30" spans="1:13" s="46" customFormat="1" ht="14.25" x14ac:dyDescent="0.2">
      <c r="A30" s="50">
        <v>20</v>
      </c>
      <c r="B30" s="271" t="s">
        <v>915</v>
      </c>
      <c r="C30" s="1086"/>
      <c r="D30" s="1086"/>
      <c r="E30" s="1086"/>
      <c r="F30" s="1086"/>
      <c r="G30" s="1086"/>
      <c r="H30" s="1086"/>
      <c r="I30" s="1086"/>
      <c r="J30" s="1086"/>
      <c r="K30" s="1086"/>
      <c r="L30" s="1086"/>
      <c r="M30" s="1086"/>
    </row>
    <row r="31" spans="1:13" s="46" customFormat="1" ht="14.25" x14ac:dyDescent="0.2">
      <c r="A31" s="50">
        <v>21</v>
      </c>
      <c r="B31" s="271" t="s">
        <v>916</v>
      </c>
      <c r="C31" s="1086"/>
      <c r="D31" s="1086"/>
      <c r="E31" s="1086"/>
      <c r="F31" s="1086"/>
      <c r="G31" s="1086"/>
      <c r="H31" s="1086"/>
      <c r="I31" s="1086"/>
      <c r="J31" s="1086"/>
      <c r="K31" s="1086"/>
      <c r="L31" s="1086"/>
      <c r="M31" s="1086"/>
    </row>
    <row r="32" spans="1:13" s="46" customFormat="1" ht="14.25" x14ac:dyDescent="0.2">
      <c r="A32" s="50">
        <v>22</v>
      </c>
      <c r="B32" s="271" t="s">
        <v>917</v>
      </c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</row>
    <row r="33" spans="1:13" s="46" customFormat="1" ht="14.25" x14ac:dyDescent="0.2">
      <c r="A33" s="50">
        <v>23</v>
      </c>
      <c r="B33" s="271" t="s">
        <v>918</v>
      </c>
      <c r="C33" s="1086"/>
      <c r="D33" s="1086"/>
      <c r="E33" s="1086"/>
      <c r="F33" s="1086"/>
      <c r="G33" s="1086"/>
      <c r="H33" s="1086"/>
      <c r="I33" s="1086"/>
      <c r="J33" s="1086"/>
      <c r="K33" s="1086"/>
      <c r="L33" s="1086"/>
      <c r="M33" s="1086"/>
    </row>
    <row r="34" spans="1:13" s="46" customFormat="1" ht="14.25" x14ac:dyDescent="0.2">
      <c r="A34" s="50">
        <v>24</v>
      </c>
      <c r="B34" s="49" t="s">
        <v>919</v>
      </c>
      <c r="C34" s="1086"/>
      <c r="D34" s="1086"/>
      <c r="E34" s="1086"/>
      <c r="F34" s="1086"/>
      <c r="G34" s="1086"/>
      <c r="H34" s="1086"/>
      <c r="I34" s="1086"/>
      <c r="J34" s="1086"/>
      <c r="K34" s="1086"/>
      <c r="L34" s="1086"/>
      <c r="M34" s="1086"/>
    </row>
    <row r="35" spans="1:13" s="14" customFormat="1" x14ac:dyDescent="0.2">
      <c r="A35" s="802" t="s">
        <v>18</v>
      </c>
      <c r="B35" s="802"/>
      <c r="C35" s="1086"/>
      <c r="D35" s="1086"/>
      <c r="E35" s="1086"/>
      <c r="F35" s="1086"/>
      <c r="G35" s="1086"/>
      <c r="H35" s="1086"/>
      <c r="I35" s="1086"/>
      <c r="J35" s="1086"/>
      <c r="K35" s="1086"/>
      <c r="L35" s="1086"/>
      <c r="M35" s="1086"/>
    </row>
    <row r="37" spans="1:13" x14ac:dyDescent="0.2">
      <c r="A37" s="11" t="s">
        <v>22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1:13" x14ac:dyDescent="0.2">
      <c r="A38" s="178"/>
      <c r="B38" s="178"/>
      <c r="C38" s="178"/>
      <c r="D38" s="178"/>
      <c r="E38" s="178"/>
      <c r="F38" s="178"/>
      <c r="G38" s="178"/>
      <c r="H38" s="178"/>
    </row>
    <row r="39" spans="1:13" x14ac:dyDescent="0.2">
      <c r="A39" s="178"/>
      <c r="B39" s="178"/>
      <c r="C39" s="178"/>
      <c r="D39" s="178"/>
      <c r="E39" s="178"/>
      <c r="F39" s="178"/>
      <c r="G39" s="178"/>
      <c r="H39" s="178"/>
    </row>
    <row r="40" spans="1:13" x14ac:dyDescent="0.2">
      <c r="A40" s="178"/>
      <c r="B40" s="178"/>
      <c r="C40" s="178"/>
      <c r="D40" s="178"/>
      <c r="E40" s="178"/>
      <c r="F40" s="178"/>
      <c r="G40" s="178"/>
      <c r="H40" s="178"/>
      <c r="J40" s="821" t="s">
        <v>12</v>
      </c>
      <c r="K40" s="821"/>
      <c r="L40" s="469"/>
    </row>
    <row r="41" spans="1:13" x14ac:dyDescent="0.2">
      <c r="A41" s="178"/>
      <c r="B41" s="178"/>
      <c r="C41" s="178"/>
      <c r="D41" s="178"/>
      <c r="E41" s="178"/>
      <c r="F41" s="178"/>
      <c r="G41" s="178"/>
      <c r="H41" s="178"/>
      <c r="J41" s="821" t="s">
        <v>13</v>
      </c>
      <c r="K41" s="821"/>
      <c r="L41" s="821"/>
    </row>
    <row r="42" spans="1:13" x14ac:dyDescent="0.2">
      <c r="J42" s="842" t="s">
        <v>19</v>
      </c>
      <c r="K42" s="842"/>
      <c r="L42" s="842"/>
      <c r="M42" s="842"/>
    </row>
    <row r="43" spans="1:13" x14ac:dyDescent="0.2">
      <c r="J43" s="33" t="s">
        <v>23</v>
      </c>
      <c r="K43" s="469"/>
      <c r="L43" s="469"/>
    </row>
    <row r="50" spans="9:12" x14ac:dyDescent="0.2">
      <c r="I50" s="821" t="s">
        <v>12</v>
      </c>
      <c r="J50" s="821"/>
      <c r="K50" s="469"/>
    </row>
    <row r="51" spans="9:12" x14ac:dyDescent="0.2">
      <c r="I51" s="821" t="s">
        <v>13</v>
      </c>
      <c r="J51" s="821"/>
      <c r="K51" s="821"/>
    </row>
    <row r="52" spans="9:12" x14ac:dyDescent="0.2">
      <c r="I52" s="842" t="s">
        <v>19</v>
      </c>
      <c r="J52" s="842"/>
      <c r="K52" s="842"/>
      <c r="L52" s="842"/>
    </row>
    <row r="53" spans="9:12" x14ac:dyDescent="0.2">
      <c r="I53" s="33" t="s">
        <v>23</v>
      </c>
      <c r="J53" s="469"/>
      <c r="K53" s="469"/>
    </row>
  </sheetData>
  <mergeCells count="19">
    <mergeCell ref="I50:J50"/>
    <mergeCell ref="I51:K51"/>
    <mergeCell ref="I52:L52"/>
    <mergeCell ref="J40:K40"/>
    <mergeCell ref="J41:L41"/>
    <mergeCell ref="J42:M42"/>
    <mergeCell ref="C6:G8"/>
    <mergeCell ref="C11:M35"/>
    <mergeCell ref="A35:B35"/>
    <mergeCell ref="B2:L2"/>
    <mergeCell ref="L1:M1"/>
    <mergeCell ref="C1:I1"/>
    <mergeCell ref="H6:L8"/>
    <mergeCell ref="H5:M5"/>
    <mergeCell ref="A4:M4"/>
    <mergeCell ref="A5:G5"/>
    <mergeCell ref="M6:M9"/>
    <mergeCell ref="A6:A9"/>
    <mergeCell ref="B6:B9"/>
  </mergeCells>
  <printOptions horizontalCentered="1"/>
  <pageMargins left="0.70866141732283472" right="0.16" top="0.23622047244094491" bottom="0" header="0.19" footer="0.31496062992125984"/>
  <pageSetup paperSize="9" scale="76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L60"/>
  <sheetViews>
    <sheetView topLeftCell="A31" zoomScaleSheetLayoutView="100" workbookViewId="0">
      <selection activeCell="B25" sqref="B25"/>
    </sheetView>
  </sheetViews>
  <sheetFormatPr defaultRowHeight="12.75" x14ac:dyDescent="0.2"/>
  <cols>
    <col min="1" max="1" width="40.85546875" customWidth="1"/>
    <col min="2" max="2" width="19" customWidth="1"/>
    <col min="3" max="3" width="23.5703125" customWidth="1"/>
    <col min="4" max="4" width="10.28515625" customWidth="1"/>
    <col min="5" max="5" width="11.7109375" customWidth="1"/>
    <col min="6" max="6" width="61.85546875" customWidth="1"/>
  </cols>
  <sheetData>
    <row r="1" spans="1:12" ht="18" x14ac:dyDescent="0.35">
      <c r="A1" s="918" t="s">
        <v>0</v>
      </c>
      <c r="B1" s="918"/>
      <c r="C1" s="918"/>
      <c r="D1" s="918"/>
      <c r="E1" s="918"/>
      <c r="F1" s="209" t="s">
        <v>526</v>
      </c>
      <c r="G1" s="202"/>
      <c r="H1" s="202"/>
      <c r="I1" s="202"/>
      <c r="J1" s="202"/>
      <c r="K1" s="202"/>
      <c r="L1" s="202"/>
    </row>
    <row r="2" spans="1:12" ht="21" x14ac:dyDescent="0.35">
      <c r="A2" s="919" t="s">
        <v>740</v>
      </c>
      <c r="B2" s="919"/>
      <c r="C2" s="919"/>
      <c r="D2" s="919"/>
      <c r="E2" s="919"/>
      <c r="F2" s="919"/>
      <c r="G2" s="203"/>
      <c r="H2" s="203"/>
      <c r="I2" s="203"/>
      <c r="J2" s="203"/>
      <c r="K2" s="203"/>
      <c r="L2" s="203"/>
    </row>
    <row r="3" spans="1:12" ht="18.75" x14ac:dyDescent="0.2">
      <c r="A3" s="1092" t="s">
        <v>525</v>
      </c>
      <c r="B3" s="1092"/>
      <c r="C3" s="1092"/>
      <c r="D3" s="1092"/>
      <c r="E3" s="1092"/>
      <c r="F3" s="1092"/>
      <c r="G3" s="1092"/>
    </row>
    <row r="4" spans="1:12" ht="14.25" customHeight="1" x14ac:dyDescent="0.3">
      <c r="A4" s="172" t="s">
        <v>920</v>
      </c>
      <c r="B4" s="210"/>
      <c r="C4" s="210"/>
      <c r="D4" s="210"/>
      <c r="E4" s="210"/>
      <c r="F4" s="210"/>
      <c r="G4" s="210"/>
    </row>
    <row r="5" spans="1:12" ht="30.75" customHeight="1" x14ac:dyDescent="0.25">
      <c r="A5" s="211"/>
      <c r="B5" s="212" t="s">
        <v>316</v>
      </c>
      <c r="C5" s="212" t="s">
        <v>317</v>
      </c>
      <c r="D5" s="1097" t="s">
        <v>318</v>
      </c>
      <c r="E5" s="1097"/>
      <c r="F5" s="213"/>
    </row>
    <row r="6" spans="1:12" ht="27.75" customHeight="1" x14ac:dyDescent="0.25">
      <c r="A6" s="240" t="s">
        <v>319</v>
      </c>
      <c r="B6" s="404" t="s">
        <v>954</v>
      </c>
      <c r="C6" s="404" t="s">
        <v>955</v>
      </c>
      <c r="D6" s="1098" t="s">
        <v>956</v>
      </c>
      <c r="E6" s="1098"/>
      <c r="F6" s="213"/>
    </row>
    <row r="7" spans="1:12" ht="32.25" customHeight="1" x14ac:dyDescent="0.25">
      <c r="A7" s="214" t="s">
        <v>320</v>
      </c>
      <c r="B7" s="404" t="s">
        <v>957</v>
      </c>
      <c r="C7" s="404" t="s">
        <v>958</v>
      </c>
      <c r="D7" s="1098" t="s">
        <v>959</v>
      </c>
      <c r="E7" s="1098"/>
      <c r="F7" s="213"/>
    </row>
    <row r="8" spans="1:12" ht="32.25" customHeight="1" x14ac:dyDescent="0.25">
      <c r="A8" s="214" t="s">
        <v>321</v>
      </c>
      <c r="B8" s="405" t="s">
        <v>316</v>
      </c>
      <c r="C8" s="405" t="s">
        <v>317</v>
      </c>
      <c r="D8" s="1098" t="s">
        <v>318</v>
      </c>
      <c r="E8" s="1098"/>
      <c r="F8" s="213"/>
    </row>
    <row r="9" spans="1:12" ht="13.5" customHeight="1" x14ac:dyDescent="0.25">
      <c r="A9" s="215" t="s">
        <v>322</v>
      </c>
      <c r="B9" s="404" t="s">
        <v>960</v>
      </c>
      <c r="C9" s="404" t="s">
        <v>960</v>
      </c>
      <c r="D9" s="1098" t="s">
        <v>960</v>
      </c>
      <c r="E9" s="1098"/>
      <c r="F9" s="213"/>
    </row>
    <row r="10" spans="1:12" ht="13.5" customHeight="1" x14ac:dyDescent="0.25">
      <c r="A10" s="215" t="s">
        <v>323</v>
      </c>
      <c r="B10" s="404" t="s">
        <v>960</v>
      </c>
      <c r="C10" s="404" t="s">
        <v>960</v>
      </c>
      <c r="D10" s="1098" t="s">
        <v>960</v>
      </c>
      <c r="E10" s="1098"/>
      <c r="F10" s="213"/>
    </row>
    <row r="11" spans="1:12" ht="13.5" customHeight="1" x14ac:dyDescent="0.25">
      <c r="A11" s="215" t="s">
        <v>324</v>
      </c>
      <c r="B11" s="404" t="s">
        <v>960</v>
      </c>
      <c r="C11" s="404" t="s">
        <v>960</v>
      </c>
      <c r="D11" s="1098" t="s">
        <v>960</v>
      </c>
      <c r="E11" s="1098"/>
      <c r="F11" s="213"/>
    </row>
    <row r="12" spans="1:12" ht="13.5" customHeight="1" x14ac:dyDescent="0.25">
      <c r="A12" s="215" t="s">
        <v>325</v>
      </c>
      <c r="B12" s="404" t="s">
        <v>960</v>
      </c>
      <c r="C12" s="404" t="s">
        <v>960</v>
      </c>
      <c r="D12" s="1098" t="s">
        <v>960</v>
      </c>
      <c r="E12" s="1098"/>
      <c r="F12" s="213"/>
    </row>
    <row r="13" spans="1:12" ht="13.5" customHeight="1" x14ac:dyDescent="0.25">
      <c r="A13" s="215" t="s">
        <v>326</v>
      </c>
      <c r="B13" s="404" t="s">
        <v>960</v>
      </c>
      <c r="C13" s="404" t="s">
        <v>960</v>
      </c>
      <c r="D13" s="1098" t="s">
        <v>960</v>
      </c>
      <c r="E13" s="1098"/>
      <c r="F13" s="213"/>
    </row>
    <row r="14" spans="1:12" ht="13.5" customHeight="1" x14ac:dyDescent="0.25">
      <c r="A14" s="215" t="s">
        <v>327</v>
      </c>
      <c r="B14" s="404" t="s">
        <v>960</v>
      </c>
      <c r="C14" s="404" t="s">
        <v>960</v>
      </c>
      <c r="D14" s="1098" t="s">
        <v>960</v>
      </c>
      <c r="E14" s="1098"/>
      <c r="F14" s="213"/>
    </row>
    <row r="15" spans="1:12" ht="13.5" customHeight="1" x14ac:dyDescent="0.25">
      <c r="A15" s="215" t="s">
        <v>328</v>
      </c>
      <c r="B15" s="404" t="s">
        <v>960</v>
      </c>
      <c r="C15" s="404" t="s">
        <v>960</v>
      </c>
      <c r="D15" s="1098" t="s">
        <v>960</v>
      </c>
      <c r="E15" s="1098"/>
      <c r="F15" s="213"/>
    </row>
    <row r="16" spans="1:12" ht="13.5" customHeight="1" x14ac:dyDescent="0.25">
      <c r="A16" s="215" t="s">
        <v>329</v>
      </c>
      <c r="B16" s="404" t="s">
        <v>960</v>
      </c>
      <c r="C16" s="404" t="s">
        <v>960</v>
      </c>
      <c r="D16" s="1098" t="s">
        <v>960</v>
      </c>
      <c r="E16" s="1098"/>
      <c r="F16" s="213"/>
    </row>
    <row r="17" spans="1:7" ht="7.5" customHeight="1" x14ac:dyDescent="0.25">
      <c r="A17" s="216"/>
      <c r="B17" s="217"/>
      <c r="C17" s="217"/>
      <c r="D17" s="217"/>
      <c r="E17" s="213"/>
      <c r="F17" s="213"/>
    </row>
    <row r="18" spans="1:7" ht="13.5" customHeight="1" x14ac:dyDescent="0.2">
      <c r="A18" s="1093" t="s">
        <v>330</v>
      </c>
      <c r="B18" s="1093"/>
      <c r="C18" s="1093"/>
      <c r="D18" s="1093"/>
      <c r="E18" s="1093"/>
      <c r="F18" s="1093"/>
      <c r="G18" s="1093"/>
    </row>
    <row r="19" spans="1:7" ht="15" x14ac:dyDescent="0.25">
      <c r="A19" s="213"/>
      <c r="B19" s="213"/>
      <c r="C19" s="213"/>
      <c r="D19" s="213"/>
      <c r="E19" s="1094" t="s">
        <v>886</v>
      </c>
      <c r="F19" s="1094"/>
      <c r="G19" s="99"/>
    </row>
    <row r="20" spans="1:7" ht="36" customHeight="1" x14ac:dyDescent="0.2">
      <c r="A20" s="218" t="s">
        <v>419</v>
      </c>
      <c r="B20" s="218" t="s">
        <v>3</v>
      </c>
      <c r="C20" s="218" t="s">
        <v>331</v>
      </c>
      <c r="D20" s="552" t="s">
        <v>332</v>
      </c>
      <c r="E20" s="218" t="s">
        <v>333</v>
      </c>
      <c r="F20" s="218" t="s">
        <v>334</v>
      </c>
      <c r="G20" s="12"/>
    </row>
    <row r="21" spans="1:7" ht="12.75" customHeight="1" x14ac:dyDescent="0.2">
      <c r="A21" s="214" t="s">
        <v>335</v>
      </c>
      <c r="B21" s="550" t="s">
        <v>1072</v>
      </c>
      <c r="C21" s="550" t="s">
        <v>1072</v>
      </c>
      <c r="D21" s="550" t="s">
        <v>1072</v>
      </c>
      <c r="E21" s="550" t="s">
        <v>1072</v>
      </c>
      <c r="F21" s="550" t="s">
        <v>1072</v>
      </c>
    </row>
    <row r="22" spans="1:7" ht="12.75" customHeight="1" x14ac:dyDescent="0.2">
      <c r="A22" s="214" t="s">
        <v>336</v>
      </c>
      <c r="B22" s="550" t="s">
        <v>1072</v>
      </c>
      <c r="C22" s="550" t="s">
        <v>1072</v>
      </c>
      <c r="D22" s="550" t="s">
        <v>1072</v>
      </c>
      <c r="E22" s="550" t="s">
        <v>1072</v>
      </c>
      <c r="F22" s="550" t="s">
        <v>1072</v>
      </c>
    </row>
    <row r="23" spans="1:7" ht="12.75" customHeight="1" x14ac:dyDescent="0.2">
      <c r="A23" s="214" t="s">
        <v>337</v>
      </c>
      <c r="B23" s="550" t="s">
        <v>1072</v>
      </c>
      <c r="C23" s="550" t="s">
        <v>1072</v>
      </c>
      <c r="D23" s="550" t="s">
        <v>1072</v>
      </c>
      <c r="E23" s="550" t="s">
        <v>1072</v>
      </c>
      <c r="F23" s="550" t="s">
        <v>1072</v>
      </c>
    </row>
    <row r="24" spans="1:7" ht="18.75" customHeight="1" x14ac:dyDescent="0.2">
      <c r="A24" s="214" t="s">
        <v>338</v>
      </c>
      <c r="B24" s="550" t="s">
        <v>1072</v>
      </c>
      <c r="C24" s="550" t="s">
        <v>1072</v>
      </c>
      <c r="D24" s="550" t="s">
        <v>1072</v>
      </c>
      <c r="E24" s="550" t="s">
        <v>1072</v>
      </c>
      <c r="F24" s="550" t="s">
        <v>1072</v>
      </c>
    </row>
    <row r="25" spans="1:7" ht="19.5" customHeight="1" x14ac:dyDescent="0.2">
      <c r="A25" s="214" t="s">
        <v>339</v>
      </c>
      <c r="B25" s="550" t="s">
        <v>1076</v>
      </c>
      <c r="C25" s="550" t="s">
        <v>1077</v>
      </c>
      <c r="D25" s="550">
        <v>2014</v>
      </c>
      <c r="E25" s="550" t="s">
        <v>1074</v>
      </c>
      <c r="F25" s="550" t="s">
        <v>1078</v>
      </c>
    </row>
    <row r="26" spans="1:7" ht="12.75" customHeight="1" x14ac:dyDescent="0.2">
      <c r="A26" s="214" t="s">
        <v>340</v>
      </c>
      <c r="B26" s="550" t="s">
        <v>1072</v>
      </c>
      <c r="C26" s="550" t="s">
        <v>1072</v>
      </c>
      <c r="D26" s="550" t="s">
        <v>1072</v>
      </c>
      <c r="E26" s="550" t="s">
        <v>1072</v>
      </c>
      <c r="F26" s="550" t="s">
        <v>1072</v>
      </c>
    </row>
    <row r="27" spans="1:7" ht="12.75" customHeight="1" x14ac:dyDescent="0.2">
      <c r="A27" s="1095" t="s">
        <v>341</v>
      </c>
      <c r="B27" s="550" t="s">
        <v>911</v>
      </c>
      <c r="C27" s="550" t="s">
        <v>1073</v>
      </c>
      <c r="D27" s="550">
        <v>2014</v>
      </c>
      <c r="E27" s="550" t="s">
        <v>1074</v>
      </c>
      <c r="F27" s="550" t="s">
        <v>1075</v>
      </c>
    </row>
    <row r="28" spans="1:7" ht="29.25" customHeight="1" x14ac:dyDescent="0.2">
      <c r="A28" s="1096"/>
      <c r="B28" s="550" t="s">
        <v>901</v>
      </c>
      <c r="C28" s="550" t="s">
        <v>1079</v>
      </c>
      <c r="D28" s="550">
        <v>2015</v>
      </c>
      <c r="E28" s="550" t="s">
        <v>1074</v>
      </c>
      <c r="F28" s="550" t="s">
        <v>1080</v>
      </c>
    </row>
    <row r="29" spans="1:7" ht="12.75" customHeight="1" x14ac:dyDescent="0.2">
      <c r="A29" s="214" t="s">
        <v>342</v>
      </c>
      <c r="B29" s="550" t="s">
        <v>1072</v>
      </c>
      <c r="C29" s="550" t="s">
        <v>1072</v>
      </c>
      <c r="D29" s="550" t="s">
        <v>1072</v>
      </c>
      <c r="E29" s="550" t="s">
        <v>1072</v>
      </c>
      <c r="F29" s="550" t="s">
        <v>1072</v>
      </c>
    </row>
    <row r="30" spans="1:7" ht="12.75" customHeight="1" x14ac:dyDescent="0.2">
      <c r="A30" s="214" t="s">
        <v>343</v>
      </c>
      <c r="B30" s="550" t="s">
        <v>1072</v>
      </c>
      <c r="C30" s="550" t="s">
        <v>1072</v>
      </c>
      <c r="D30" s="550" t="s">
        <v>1072</v>
      </c>
      <c r="E30" s="550" t="s">
        <v>1072</v>
      </c>
      <c r="F30" s="550" t="s">
        <v>1072</v>
      </c>
    </row>
    <row r="31" spans="1:7" ht="12.75" customHeight="1" x14ac:dyDescent="0.2">
      <c r="A31" s="214" t="s">
        <v>344</v>
      </c>
      <c r="B31" s="550" t="s">
        <v>1072</v>
      </c>
      <c r="C31" s="550" t="s">
        <v>1072</v>
      </c>
      <c r="D31" s="550" t="s">
        <v>1072</v>
      </c>
      <c r="E31" s="550" t="s">
        <v>1072</v>
      </c>
      <c r="F31" s="550" t="s">
        <v>1072</v>
      </c>
    </row>
    <row r="32" spans="1:7" ht="29.25" customHeight="1" x14ac:dyDescent="0.2">
      <c r="A32" s="214" t="s">
        <v>345</v>
      </c>
      <c r="B32" s="550" t="s">
        <v>910</v>
      </c>
      <c r="C32" s="550" t="s">
        <v>1081</v>
      </c>
      <c r="D32" s="550">
        <v>2016</v>
      </c>
      <c r="E32" s="550" t="s">
        <v>1074</v>
      </c>
      <c r="F32" s="550" t="s">
        <v>1082</v>
      </c>
    </row>
    <row r="33" spans="1:7" ht="12.75" customHeight="1" x14ac:dyDescent="0.2">
      <c r="A33" s="214" t="s">
        <v>346</v>
      </c>
      <c r="B33" s="550" t="s">
        <v>1072</v>
      </c>
      <c r="C33" s="550" t="s">
        <v>1072</v>
      </c>
      <c r="D33" s="550" t="s">
        <v>1072</v>
      </c>
      <c r="E33" s="550" t="s">
        <v>1072</v>
      </c>
      <c r="F33" s="550" t="s">
        <v>1072</v>
      </c>
    </row>
    <row r="34" spans="1:7" ht="12.75" customHeight="1" x14ac:dyDescent="0.2">
      <c r="A34" s="214" t="s">
        <v>347</v>
      </c>
      <c r="B34" s="550" t="s">
        <v>1072</v>
      </c>
      <c r="C34" s="550" t="s">
        <v>1072</v>
      </c>
      <c r="D34" s="550" t="s">
        <v>1072</v>
      </c>
      <c r="E34" s="550" t="s">
        <v>1072</v>
      </c>
      <c r="F34" s="550" t="s">
        <v>1072</v>
      </c>
    </row>
    <row r="35" spans="1:7" ht="25.5" customHeight="1" x14ac:dyDescent="0.2">
      <c r="A35" s="214" t="s">
        <v>348</v>
      </c>
      <c r="B35" s="550" t="s">
        <v>896</v>
      </c>
      <c r="C35" s="550" t="s">
        <v>1084</v>
      </c>
      <c r="D35" s="550">
        <v>2013</v>
      </c>
      <c r="E35" s="550" t="s">
        <v>1074</v>
      </c>
      <c r="F35" s="550" t="s">
        <v>1085</v>
      </c>
    </row>
    <row r="36" spans="1:7" ht="19.5" customHeight="1" x14ac:dyDescent="0.2">
      <c r="A36" s="214"/>
      <c r="B36" s="550" t="s">
        <v>948</v>
      </c>
      <c r="C36" s="550" t="s">
        <v>1083</v>
      </c>
      <c r="D36" s="550">
        <v>2014</v>
      </c>
      <c r="E36" s="550" t="s">
        <v>1074</v>
      </c>
      <c r="F36" s="550" t="s">
        <v>1086</v>
      </c>
    </row>
    <row r="37" spans="1:7" ht="12.75" customHeight="1" x14ac:dyDescent="0.2">
      <c r="A37" s="214" t="s">
        <v>349</v>
      </c>
      <c r="B37" s="550" t="s">
        <v>1072</v>
      </c>
      <c r="C37" s="550" t="s">
        <v>1072</v>
      </c>
      <c r="D37" s="550" t="s">
        <v>1072</v>
      </c>
      <c r="E37" s="550" t="s">
        <v>1072</v>
      </c>
      <c r="F37" s="550" t="s">
        <v>1072</v>
      </c>
    </row>
    <row r="38" spans="1:7" ht="12.75" customHeight="1" x14ac:dyDescent="0.2">
      <c r="A38" s="214" t="s">
        <v>350</v>
      </c>
      <c r="B38" s="550" t="s">
        <v>1072</v>
      </c>
      <c r="C38" s="550" t="s">
        <v>1072</v>
      </c>
      <c r="D38" s="550" t="s">
        <v>1072</v>
      </c>
      <c r="E38" s="550" t="s">
        <v>1072</v>
      </c>
      <c r="F38" s="550" t="s">
        <v>1072</v>
      </c>
    </row>
    <row r="39" spans="1:7" ht="26.25" customHeight="1" x14ac:dyDescent="0.2">
      <c r="A39" s="1095" t="s">
        <v>1087</v>
      </c>
      <c r="B39" s="550" t="s">
        <v>912</v>
      </c>
      <c r="C39" s="550" t="s">
        <v>1088</v>
      </c>
      <c r="D39" s="550">
        <v>2015</v>
      </c>
      <c r="E39" s="550" t="s">
        <v>1074</v>
      </c>
      <c r="F39" s="550" t="s">
        <v>1089</v>
      </c>
    </row>
    <row r="40" spans="1:7" ht="15" customHeight="1" x14ac:dyDescent="0.2">
      <c r="A40" s="1096"/>
      <c r="B40" s="550" t="s">
        <v>909</v>
      </c>
      <c r="C40" s="550" t="s">
        <v>1090</v>
      </c>
      <c r="D40" s="550">
        <v>2016</v>
      </c>
      <c r="E40" s="550" t="s">
        <v>1074</v>
      </c>
      <c r="F40" s="550" t="s">
        <v>1091</v>
      </c>
    </row>
    <row r="41" spans="1:7" ht="12" customHeight="1" x14ac:dyDescent="0.2">
      <c r="A41" s="218" t="s">
        <v>18</v>
      </c>
      <c r="B41" s="550"/>
      <c r="C41" s="550"/>
      <c r="D41" s="550"/>
      <c r="E41" s="550"/>
      <c r="F41" s="551"/>
    </row>
    <row r="42" spans="1:7" ht="5.25" customHeight="1" x14ac:dyDescent="0.2"/>
    <row r="43" spans="1:7" ht="5.25" customHeight="1" x14ac:dyDescent="0.2"/>
    <row r="44" spans="1:7" ht="5.25" customHeight="1" x14ac:dyDescent="0.2"/>
    <row r="45" spans="1:7" ht="15" customHeight="1" x14ac:dyDescent="0.2">
      <c r="A45" s="178" t="s">
        <v>11</v>
      </c>
      <c r="B45" s="178"/>
      <c r="C45" s="178"/>
      <c r="D45" s="916"/>
      <c r="E45" s="916"/>
      <c r="F45" s="643" t="s">
        <v>12</v>
      </c>
      <c r="G45" s="643"/>
    </row>
    <row r="46" spans="1:7" ht="15" customHeight="1" x14ac:dyDescent="0.2">
      <c r="A46" s="178"/>
      <c r="B46" s="178"/>
      <c r="C46" s="178"/>
      <c r="D46" s="916"/>
      <c r="E46" s="916"/>
      <c r="F46" s="643" t="s">
        <v>13</v>
      </c>
      <c r="G46" s="643"/>
    </row>
    <row r="47" spans="1:7" x14ac:dyDescent="0.2">
      <c r="A47" s="178"/>
      <c r="C47" s="178"/>
      <c r="D47" s="180"/>
      <c r="E47" s="180"/>
      <c r="F47" s="916" t="s">
        <v>87</v>
      </c>
      <c r="G47" s="916"/>
    </row>
    <row r="48" spans="1:7" x14ac:dyDescent="0.2">
      <c r="F48" s="644" t="s">
        <v>84</v>
      </c>
      <c r="G48" s="644"/>
    </row>
    <row r="49" spans="6:7" x14ac:dyDescent="0.2">
      <c r="F49" s="916"/>
      <c r="G49" s="916"/>
    </row>
    <row r="50" spans="6:7" x14ac:dyDescent="0.2">
      <c r="F50" s="644"/>
      <c r="G50" s="644"/>
    </row>
    <row r="57" spans="6:7" x14ac:dyDescent="0.2">
      <c r="F57" s="916"/>
      <c r="G57" s="916"/>
    </row>
    <row r="58" spans="6:7" x14ac:dyDescent="0.2">
      <c r="F58" s="916"/>
      <c r="G58" s="916"/>
    </row>
    <row r="59" spans="6:7" x14ac:dyDescent="0.2">
      <c r="F59" s="916"/>
      <c r="G59" s="916"/>
    </row>
    <row r="60" spans="6:7" x14ac:dyDescent="0.2">
      <c r="F60" s="644"/>
      <c r="G60" s="644"/>
    </row>
  </sheetData>
  <mergeCells count="26">
    <mergeCell ref="F57:G57"/>
    <mergeCell ref="F58:G58"/>
    <mergeCell ref="F59:G59"/>
    <mergeCell ref="F47:G47"/>
    <mergeCell ref="F49:G49"/>
    <mergeCell ref="D11:E11"/>
    <mergeCell ref="D12:E12"/>
    <mergeCell ref="D13:E13"/>
    <mergeCell ref="D14:E14"/>
    <mergeCell ref="D15:E15"/>
    <mergeCell ref="D45:E45"/>
    <mergeCell ref="D46:E46"/>
    <mergeCell ref="A1:E1"/>
    <mergeCell ref="A2:F2"/>
    <mergeCell ref="A3:G3"/>
    <mergeCell ref="A18:G18"/>
    <mergeCell ref="E19:F19"/>
    <mergeCell ref="A39:A40"/>
    <mergeCell ref="A27:A28"/>
    <mergeCell ref="D5:E5"/>
    <mergeCell ref="D6:E6"/>
    <mergeCell ref="D7:E7"/>
    <mergeCell ref="D8:E8"/>
    <mergeCell ref="D9:E9"/>
    <mergeCell ref="D10:E10"/>
    <mergeCell ref="D16:E16"/>
  </mergeCells>
  <printOptions horizontalCentered="1"/>
  <pageMargins left="0.70866141732283472" right="0.23" top="0.23622047244094491" bottom="0.16" header="0.17" footer="0.18"/>
  <pageSetup paperSize="9" scale="73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2:H13"/>
  <sheetViews>
    <sheetView zoomScaleSheetLayoutView="90" workbookViewId="0">
      <selection activeCell="C29" sqref="C29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1099" t="s">
        <v>745</v>
      </c>
      <c r="C4" s="1099"/>
      <c r="D4" s="1099"/>
      <c r="E4" s="1099"/>
      <c r="F4" s="1099"/>
      <c r="G4" s="1099"/>
      <c r="H4" s="1099"/>
    </row>
    <row r="5" spans="2:8" ht="12.75" customHeight="1" x14ac:dyDescent="0.2">
      <c r="B5" s="1099"/>
      <c r="C5" s="1099"/>
      <c r="D5" s="1099"/>
      <c r="E5" s="1099"/>
      <c r="F5" s="1099"/>
      <c r="G5" s="1099"/>
      <c r="H5" s="1099"/>
    </row>
    <row r="6" spans="2:8" ht="12.75" customHeight="1" x14ac:dyDescent="0.2">
      <c r="B6" s="1099"/>
      <c r="C6" s="1099"/>
      <c r="D6" s="1099"/>
      <c r="E6" s="1099"/>
      <c r="F6" s="1099"/>
      <c r="G6" s="1099"/>
      <c r="H6" s="1099"/>
    </row>
    <row r="7" spans="2:8" ht="12.75" customHeight="1" x14ac:dyDescent="0.2">
      <c r="B7" s="1099"/>
      <c r="C7" s="1099"/>
      <c r="D7" s="1099"/>
      <c r="E7" s="1099"/>
      <c r="F7" s="1099"/>
      <c r="G7" s="1099"/>
      <c r="H7" s="1099"/>
    </row>
    <row r="8" spans="2:8" ht="12.75" customHeight="1" x14ac:dyDescent="0.2">
      <c r="B8" s="1099"/>
      <c r="C8" s="1099"/>
      <c r="D8" s="1099"/>
      <c r="E8" s="1099"/>
      <c r="F8" s="1099"/>
      <c r="G8" s="1099"/>
      <c r="H8" s="1099"/>
    </row>
    <row r="9" spans="2:8" ht="12.75" customHeight="1" x14ac:dyDescent="0.2">
      <c r="B9" s="1099"/>
      <c r="C9" s="1099"/>
      <c r="D9" s="1099"/>
      <c r="E9" s="1099"/>
      <c r="F9" s="1099"/>
      <c r="G9" s="1099"/>
      <c r="H9" s="1099"/>
    </row>
    <row r="10" spans="2:8" ht="12.75" customHeight="1" x14ac:dyDescent="0.2">
      <c r="B10" s="1099"/>
      <c r="C10" s="1099"/>
      <c r="D10" s="1099"/>
      <c r="E10" s="1099"/>
      <c r="F10" s="1099"/>
      <c r="G10" s="1099"/>
      <c r="H10" s="1099"/>
    </row>
    <row r="11" spans="2:8" ht="12.75" customHeight="1" x14ac:dyDescent="0.2">
      <c r="B11" s="1099"/>
      <c r="C11" s="1099"/>
      <c r="D11" s="1099"/>
      <c r="E11" s="1099"/>
      <c r="F11" s="1099"/>
      <c r="G11" s="1099"/>
      <c r="H11" s="1099"/>
    </row>
    <row r="12" spans="2:8" ht="12.75" customHeight="1" x14ac:dyDescent="0.2">
      <c r="B12" s="1099"/>
      <c r="C12" s="1099"/>
      <c r="D12" s="1099"/>
      <c r="E12" s="1099"/>
      <c r="F12" s="1099"/>
      <c r="G12" s="1099"/>
      <c r="H12" s="1099"/>
    </row>
    <row r="13" spans="2:8" ht="12.75" customHeight="1" x14ac:dyDescent="0.2">
      <c r="B13" s="1099"/>
      <c r="C13" s="1099"/>
      <c r="D13" s="1099"/>
      <c r="E13" s="1099"/>
      <c r="F13" s="1099"/>
      <c r="G13" s="1099"/>
      <c r="H13" s="1099"/>
    </row>
  </sheetData>
  <mergeCells count="1">
    <mergeCell ref="B4:H13"/>
  </mergeCells>
  <phoneticPr fontId="131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T31"/>
  <sheetViews>
    <sheetView topLeftCell="A7" zoomScale="90" zoomScaleNormal="90" zoomScaleSheetLayoutView="100" workbookViewId="0">
      <selection activeCell="J23" sqref="J23"/>
    </sheetView>
  </sheetViews>
  <sheetFormatPr defaultColWidth="9.140625" defaultRowHeight="14.25" x14ac:dyDescent="0.2"/>
  <cols>
    <col min="1" max="1" width="4.7109375" style="46" customWidth="1"/>
    <col min="2" max="2" width="16.85546875" style="46" customWidth="1"/>
    <col min="3" max="3" width="11.7109375" style="46" customWidth="1"/>
    <col min="4" max="4" width="12" style="46" customWidth="1"/>
    <col min="5" max="5" width="12.140625" style="46" customWidth="1"/>
    <col min="6" max="6" width="17.42578125" style="46" customWidth="1"/>
    <col min="7" max="7" width="12.42578125" style="46" customWidth="1"/>
    <col min="8" max="8" width="16" style="46" customWidth="1"/>
    <col min="9" max="9" width="12.7109375" style="46" customWidth="1"/>
    <col min="10" max="10" width="15" style="46" customWidth="1"/>
    <col min="11" max="11" width="16" style="46" customWidth="1"/>
    <col min="12" max="12" width="11.85546875" style="46" customWidth="1"/>
    <col min="13" max="16384" width="9.140625" style="46"/>
  </cols>
  <sheetData>
    <row r="1" spans="1:20" ht="15" customHeight="1" x14ac:dyDescent="0.25">
      <c r="C1" s="796"/>
      <c r="D1" s="796"/>
      <c r="E1" s="796"/>
      <c r="F1" s="796"/>
      <c r="G1" s="796"/>
      <c r="H1" s="796"/>
      <c r="I1" s="142"/>
      <c r="J1" s="978" t="s">
        <v>527</v>
      </c>
      <c r="K1" s="978"/>
    </row>
    <row r="2" spans="1:20" s="53" customFormat="1" ht="19.5" customHeight="1" x14ac:dyDescent="0.2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</row>
    <row r="3" spans="1:20" s="53" customFormat="1" ht="19.5" customHeight="1" x14ac:dyDescent="0.2">
      <c r="A3" s="1100" t="s">
        <v>740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</row>
    <row r="4" spans="1:20" s="53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0" s="53" customFormat="1" ht="18" customHeight="1" x14ac:dyDescent="0.2">
      <c r="A5" s="1033" t="s">
        <v>746</v>
      </c>
      <c r="B5" s="1033"/>
      <c r="C5" s="1033"/>
      <c r="D5" s="1033"/>
      <c r="E5" s="1033"/>
      <c r="F5" s="1033"/>
      <c r="G5" s="1033"/>
      <c r="H5" s="1033"/>
      <c r="I5" s="1033"/>
      <c r="J5" s="1033"/>
      <c r="K5" s="1033"/>
    </row>
    <row r="6" spans="1:20" ht="15.75" x14ac:dyDescent="0.25">
      <c r="A6" s="820" t="s">
        <v>920</v>
      </c>
      <c r="B6" s="820"/>
      <c r="C6" s="97"/>
      <c r="D6" s="97"/>
      <c r="E6" s="97"/>
      <c r="F6" s="97"/>
      <c r="G6" s="97"/>
      <c r="H6" s="97"/>
      <c r="I6" s="97"/>
      <c r="J6" s="97"/>
      <c r="K6" s="97"/>
    </row>
    <row r="7" spans="1:20" ht="29.25" customHeight="1" x14ac:dyDescent="0.2">
      <c r="A7" s="1105" t="s">
        <v>74</v>
      </c>
      <c r="B7" s="1105" t="s">
        <v>75</v>
      </c>
      <c r="C7" s="1105" t="s">
        <v>76</v>
      </c>
      <c r="D7" s="1105" t="s">
        <v>152</v>
      </c>
      <c r="E7" s="1105"/>
      <c r="F7" s="1105"/>
      <c r="G7" s="1105"/>
      <c r="H7" s="1105"/>
      <c r="I7" s="1108" t="s">
        <v>233</v>
      </c>
      <c r="J7" s="1105" t="s">
        <v>77</v>
      </c>
      <c r="K7" s="1105" t="s">
        <v>473</v>
      </c>
      <c r="L7" s="1102" t="s">
        <v>78</v>
      </c>
      <c r="S7" s="52"/>
      <c r="T7" s="52"/>
    </row>
    <row r="8" spans="1:20" ht="33.75" customHeight="1" x14ac:dyDescent="0.2">
      <c r="A8" s="1105"/>
      <c r="B8" s="1105"/>
      <c r="C8" s="1105"/>
      <c r="D8" s="1105" t="s">
        <v>79</v>
      </c>
      <c r="E8" s="1105" t="s">
        <v>80</v>
      </c>
      <c r="F8" s="1105"/>
      <c r="G8" s="1105"/>
      <c r="H8" s="48" t="s">
        <v>81</v>
      </c>
      <c r="I8" s="1109"/>
      <c r="J8" s="1105"/>
      <c r="K8" s="1105"/>
      <c r="L8" s="1102"/>
    </row>
    <row r="9" spans="1:20" ht="30" x14ac:dyDescent="0.2">
      <c r="A9" s="1105"/>
      <c r="B9" s="1105"/>
      <c r="C9" s="1105"/>
      <c r="D9" s="1105"/>
      <c r="E9" s="48" t="s">
        <v>82</v>
      </c>
      <c r="F9" s="48" t="s">
        <v>83</v>
      </c>
      <c r="G9" s="48" t="s">
        <v>18</v>
      </c>
      <c r="H9" s="48"/>
      <c r="I9" s="1110"/>
      <c r="J9" s="1105"/>
      <c r="K9" s="1105"/>
      <c r="L9" s="1102"/>
    </row>
    <row r="10" spans="1:20" s="131" customFormat="1" ht="17.100000000000001" customHeight="1" x14ac:dyDescent="0.2">
      <c r="A10" s="130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  <c r="L10" s="130">
        <v>12</v>
      </c>
    </row>
    <row r="11" spans="1:20" ht="17.100000000000001" customHeight="1" x14ac:dyDescent="0.2">
      <c r="A11" s="55">
        <v>1</v>
      </c>
      <c r="B11" s="56" t="s">
        <v>833</v>
      </c>
      <c r="C11" s="50">
        <v>30</v>
      </c>
      <c r="D11" s="50">
        <v>0</v>
      </c>
      <c r="E11" s="50">
        <v>4</v>
      </c>
      <c r="F11" s="50">
        <v>4</v>
      </c>
      <c r="G11" s="50">
        <f>SUM(E11:F11)</f>
        <v>8</v>
      </c>
      <c r="H11" s="50">
        <f>D11+G11</f>
        <v>8</v>
      </c>
      <c r="I11" s="50">
        <f>C11-H11</f>
        <v>22</v>
      </c>
      <c r="J11" s="50">
        <f>C11-H11</f>
        <v>22</v>
      </c>
      <c r="K11" s="50">
        <f>C11-D11-E11</f>
        <v>26</v>
      </c>
      <c r="L11" s="49"/>
    </row>
    <row r="12" spans="1:20" ht="17.100000000000001" customHeight="1" x14ac:dyDescent="0.2">
      <c r="A12" s="55">
        <v>2</v>
      </c>
      <c r="B12" s="56" t="s">
        <v>834</v>
      </c>
      <c r="C12" s="50">
        <v>31</v>
      </c>
      <c r="D12" s="50">
        <v>0</v>
      </c>
      <c r="E12" s="50">
        <v>5</v>
      </c>
      <c r="F12" s="50">
        <v>12</v>
      </c>
      <c r="G12" s="50">
        <f t="shared" ref="G12:G22" si="0">SUM(E12:F12)</f>
        <v>17</v>
      </c>
      <c r="H12" s="50">
        <f t="shared" ref="H12:H22" si="1">D12+G12</f>
        <v>17</v>
      </c>
      <c r="I12" s="50">
        <f t="shared" ref="I12:I22" si="2">C12-H12</f>
        <v>14</v>
      </c>
      <c r="J12" s="50">
        <f t="shared" ref="J12:J22" si="3">C12-H12</f>
        <v>14</v>
      </c>
      <c r="K12" s="50">
        <f t="shared" ref="K12:K22" si="4">C12-D12-E12</f>
        <v>26</v>
      </c>
      <c r="L12" s="49"/>
    </row>
    <row r="13" spans="1:20" ht="17.100000000000001" customHeight="1" x14ac:dyDescent="0.2">
      <c r="A13" s="55">
        <v>3</v>
      </c>
      <c r="B13" s="56" t="s">
        <v>835</v>
      </c>
      <c r="C13" s="50">
        <v>30</v>
      </c>
      <c r="D13" s="50">
        <v>0</v>
      </c>
      <c r="E13" s="50">
        <v>4</v>
      </c>
      <c r="F13" s="50">
        <v>10</v>
      </c>
      <c r="G13" s="50">
        <f t="shared" si="0"/>
        <v>14</v>
      </c>
      <c r="H13" s="50">
        <f t="shared" si="1"/>
        <v>14</v>
      </c>
      <c r="I13" s="50">
        <f t="shared" si="2"/>
        <v>16</v>
      </c>
      <c r="J13" s="50">
        <f t="shared" si="3"/>
        <v>16</v>
      </c>
      <c r="K13" s="50">
        <f t="shared" si="4"/>
        <v>26</v>
      </c>
      <c r="L13" s="49"/>
    </row>
    <row r="14" spans="1:20" ht="17.100000000000001" customHeight="1" x14ac:dyDescent="0.2">
      <c r="A14" s="55">
        <v>4</v>
      </c>
      <c r="B14" s="56" t="s">
        <v>836</v>
      </c>
      <c r="C14" s="50">
        <v>31</v>
      </c>
      <c r="D14" s="50">
        <v>0</v>
      </c>
      <c r="E14" s="50">
        <v>4</v>
      </c>
      <c r="F14" s="50">
        <v>1</v>
      </c>
      <c r="G14" s="50">
        <f t="shared" si="0"/>
        <v>5</v>
      </c>
      <c r="H14" s="50">
        <f t="shared" si="1"/>
        <v>5</v>
      </c>
      <c r="I14" s="50">
        <f t="shared" si="2"/>
        <v>26</v>
      </c>
      <c r="J14" s="50">
        <f t="shared" si="3"/>
        <v>26</v>
      </c>
      <c r="K14" s="50">
        <f t="shared" si="4"/>
        <v>27</v>
      </c>
      <c r="L14" s="49"/>
    </row>
    <row r="15" spans="1:20" ht="17.100000000000001" customHeight="1" x14ac:dyDescent="0.2">
      <c r="A15" s="55">
        <v>5</v>
      </c>
      <c r="B15" s="56" t="s">
        <v>837</v>
      </c>
      <c r="C15" s="50">
        <v>31</v>
      </c>
      <c r="D15" s="50">
        <v>1</v>
      </c>
      <c r="E15" s="50">
        <v>5</v>
      </c>
      <c r="F15" s="50">
        <v>2</v>
      </c>
      <c r="G15" s="50">
        <f t="shared" si="0"/>
        <v>7</v>
      </c>
      <c r="H15" s="50">
        <f t="shared" si="1"/>
        <v>8</v>
      </c>
      <c r="I15" s="50">
        <f t="shared" si="2"/>
        <v>23</v>
      </c>
      <c r="J15" s="50">
        <f t="shared" si="3"/>
        <v>23</v>
      </c>
      <c r="K15" s="50">
        <f t="shared" si="4"/>
        <v>25</v>
      </c>
      <c r="L15" s="49"/>
    </row>
    <row r="16" spans="1:20" s="54" customFormat="1" ht="17.100000000000001" customHeight="1" x14ac:dyDescent="0.2">
      <c r="A16" s="55">
        <v>6</v>
      </c>
      <c r="B16" s="56" t="s">
        <v>838</v>
      </c>
      <c r="C16" s="55">
        <v>30</v>
      </c>
      <c r="D16" s="55">
        <v>0</v>
      </c>
      <c r="E16" s="55">
        <v>4</v>
      </c>
      <c r="F16" s="55">
        <v>2</v>
      </c>
      <c r="G16" s="50">
        <f t="shared" si="0"/>
        <v>6</v>
      </c>
      <c r="H16" s="50">
        <f t="shared" si="1"/>
        <v>6</v>
      </c>
      <c r="I16" s="50">
        <f t="shared" si="2"/>
        <v>24</v>
      </c>
      <c r="J16" s="50">
        <f t="shared" si="3"/>
        <v>24</v>
      </c>
      <c r="K16" s="50">
        <f t="shared" si="4"/>
        <v>26</v>
      </c>
      <c r="L16" s="56"/>
    </row>
    <row r="17" spans="1:12" s="54" customFormat="1" ht="17.100000000000001" customHeight="1" x14ac:dyDescent="0.2">
      <c r="A17" s="55">
        <v>7</v>
      </c>
      <c r="B17" s="56" t="s">
        <v>839</v>
      </c>
      <c r="C17" s="55">
        <v>31</v>
      </c>
      <c r="D17" s="55">
        <v>1</v>
      </c>
      <c r="E17" s="55">
        <v>4</v>
      </c>
      <c r="F17" s="55">
        <v>10</v>
      </c>
      <c r="G17" s="50">
        <f t="shared" si="0"/>
        <v>14</v>
      </c>
      <c r="H17" s="50">
        <f t="shared" si="1"/>
        <v>15</v>
      </c>
      <c r="I17" s="50">
        <f t="shared" si="2"/>
        <v>16</v>
      </c>
      <c r="J17" s="50">
        <f t="shared" si="3"/>
        <v>16</v>
      </c>
      <c r="K17" s="50">
        <f t="shared" si="4"/>
        <v>26</v>
      </c>
      <c r="L17" s="56"/>
    </row>
    <row r="18" spans="1:12" s="54" customFormat="1" ht="17.100000000000001" customHeight="1" x14ac:dyDescent="0.2">
      <c r="A18" s="55">
        <v>8</v>
      </c>
      <c r="B18" s="56" t="s">
        <v>840</v>
      </c>
      <c r="C18" s="55">
        <v>30</v>
      </c>
      <c r="D18" s="55">
        <v>0</v>
      </c>
      <c r="E18" s="55">
        <v>5</v>
      </c>
      <c r="F18" s="55">
        <v>3</v>
      </c>
      <c r="G18" s="50">
        <f t="shared" si="0"/>
        <v>8</v>
      </c>
      <c r="H18" s="50">
        <f t="shared" si="1"/>
        <v>8</v>
      </c>
      <c r="I18" s="50">
        <f t="shared" si="2"/>
        <v>22</v>
      </c>
      <c r="J18" s="50">
        <f t="shared" si="3"/>
        <v>22</v>
      </c>
      <c r="K18" s="50">
        <f t="shared" si="4"/>
        <v>25</v>
      </c>
      <c r="L18" s="56"/>
    </row>
    <row r="19" spans="1:12" s="54" customFormat="1" ht="17.100000000000001" customHeight="1" x14ac:dyDescent="0.2">
      <c r="A19" s="55">
        <v>9</v>
      </c>
      <c r="B19" s="56" t="s">
        <v>841</v>
      </c>
      <c r="C19" s="55">
        <v>31</v>
      </c>
      <c r="D19" s="55">
        <v>0</v>
      </c>
      <c r="E19" s="55">
        <v>4</v>
      </c>
      <c r="F19" s="55">
        <v>5</v>
      </c>
      <c r="G19" s="50">
        <f t="shared" si="0"/>
        <v>9</v>
      </c>
      <c r="H19" s="50">
        <f t="shared" si="1"/>
        <v>9</v>
      </c>
      <c r="I19" s="50">
        <f t="shared" si="2"/>
        <v>22</v>
      </c>
      <c r="J19" s="50">
        <f t="shared" si="3"/>
        <v>22</v>
      </c>
      <c r="K19" s="50">
        <f t="shared" si="4"/>
        <v>27</v>
      </c>
      <c r="L19" s="56"/>
    </row>
    <row r="20" spans="1:12" s="54" customFormat="1" ht="17.100000000000001" customHeight="1" x14ac:dyDescent="0.2">
      <c r="A20" s="55">
        <v>10</v>
      </c>
      <c r="B20" s="56" t="s">
        <v>842</v>
      </c>
      <c r="C20" s="55">
        <v>31</v>
      </c>
      <c r="D20" s="55">
        <v>1</v>
      </c>
      <c r="E20" s="55">
        <v>5</v>
      </c>
      <c r="F20" s="55">
        <v>4</v>
      </c>
      <c r="G20" s="50">
        <f t="shared" si="0"/>
        <v>9</v>
      </c>
      <c r="H20" s="50">
        <f t="shared" si="1"/>
        <v>10</v>
      </c>
      <c r="I20" s="50">
        <f t="shared" si="2"/>
        <v>21</v>
      </c>
      <c r="J20" s="50">
        <f t="shared" si="3"/>
        <v>21</v>
      </c>
      <c r="K20" s="50">
        <f t="shared" si="4"/>
        <v>25</v>
      </c>
      <c r="L20" s="56"/>
    </row>
    <row r="21" spans="1:12" s="54" customFormat="1" ht="17.100000000000001" customHeight="1" x14ac:dyDescent="0.2">
      <c r="A21" s="55">
        <v>11</v>
      </c>
      <c r="B21" s="56" t="s">
        <v>843</v>
      </c>
      <c r="C21" s="55">
        <v>28</v>
      </c>
      <c r="D21" s="48">
        <v>0</v>
      </c>
      <c r="E21" s="48">
        <v>4</v>
      </c>
      <c r="F21" s="48">
        <v>1</v>
      </c>
      <c r="G21" s="50">
        <f t="shared" si="0"/>
        <v>5</v>
      </c>
      <c r="H21" s="50">
        <f t="shared" si="1"/>
        <v>5</v>
      </c>
      <c r="I21" s="50">
        <f t="shared" si="2"/>
        <v>23</v>
      </c>
      <c r="J21" s="50">
        <f t="shared" si="3"/>
        <v>23</v>
      </c>
      <c r="K21" s="50">
        <f t="shared" si="4"/>
        <v>24</v>
      </c>
      <c r="L21" s="56"/>
    </row>
    <row r="22" spans="1:12" s="54" customFormat="1" ht="17.100000000000001" customHeight="1" x14ac:dyDescent="0.2">
      <c r="A22" s="55">
        <v>12</v>
      </c>
      <c r="B22" s="56" t="s">
        <v>844</v>
      </c>
      <c r="C22" s="55">
        <v>31</v>
      </c>
      <c r="D22" s="48">
        <v>0</v>
      </c>
      <c r="E22" s="48">
        <v>4</v>
      </c>
      <c r="F22" s="48">
        <v>3</v>
      </c>
      <c r="G22" s="50">
        <f t="shared" si="0"/>
        <v>7</v>
      </c>
      <c r="H22" s="50">
        <f t="shared" si="1"/>
        <v>7</v>
      </c>
      <c r="I22" s="50">
        <f t="shared" si="2"/>
        <v>24</v>
      </c>
      <c r="J22" s="50">
        <f t="shared" si="3"/>
        <v>24</v>
      </c>
      <c r="K22" s="50">
        <f t="shared" si="4"/>
        <v>27</v>
      </c>
      <c r="L22" s="56"/>
    </row>
    <row r="23" spans="1:12" s="54" customFormat="1" ht="17.100000000000001" customHeight="1" x14ac:dyDescent="0.2">
      <c r="A23" s="1106" t="s">
        <v>18</v>
      </c>
      <c r="B23" s="1107"/>
      <c r="C23" s="55">
        <f>SUM(C11:C22)</f>
        <v>365</v>
      </c>
      <c r="D23" s="55">
        <f t="shared" ref="D23:K23" si="5">SUM(D11:D22)</f>
        <v>3</v>
      </c>
      <c r="E23" s="55">
        <f t="shared" si="5"/>
        <v>52</v>
      </c>
      <c r="F23" s="55">
        <f t="shared" si="5"/>
        <v>57</v>
      </c>
      <c r="G23" s="55">
        <f t="shared" si="5"/>
        <v>109</v>
      </c>
      <c r="H23" s="55">
        <f t="shared" si="5"/>
        <v>112</v>
      </c>
      <c r="I23" s="55">
        <f t="shared" si="5"/>
        <v>253</v>
      </c>
      <c r="J23" s="55">
        <f t="shared" si="5"/>
        <v>253</v>
      </c>
      <c r="K23" s="55">
        <f t="shared" si="5"/>
        <v>310</v>
      </c>
      <c r="L23" s="56"/>
    </row>
    <row r="24" spans="1:12" s="54" customFormat="1" ht="11.25" customHeight="1" x14ac:dyDescent="0.2">
      <c r="A24" s="57"/>
      <c r="B24" s="58"/>
      <c r="C24" s="59"/>
      <c r="D24" s="57"/>
      <c r="E24" s="57"/>
      <c r="F24" s="57"/>
      <c r="G24" s="57"/>
      <c r="H24" s="57"/>
      <c r="I24" s="57"/>
      <c r="J24" s="57"/>
      <c r="K24" s="57"/>
    </row>
    <row r="25" spans="1:12" ht="15" x14ac:dyDescent="0.25">
      <c r="A25" s="51" t="s">
        <v>108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2" ht="15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2" ht="1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2" ht="15" x14ac:dyDescent="0.25">
      <c r="A28" s="51" t="s">
        <v>11</v>
      </c>
      <c r="B28" s="51"/>
      <c r="C28" s="51"/>
      <c r="D28" s="51"/>
      <c r="E28" s="51"/>
      <c r="F28" s="51"/>
      <c r="G28" s="51"/>
      <c r="H28" s="51"/>
      <c r="I28" s="51"/>
      <c r="J28" s="1103" t="s">
        <v>12</v>
      </c>
      <c r="K28" s="1103"/>
    </row>
    <row r="29" spans="1:12" ht="15" x14ac:dyDescent="0.2">
      <c r="A29" s="1104" t="s">
        <v>13</v>
      </c>
      <c r="B29" s="1104"/>
      <c r="C29" s="1104"/>
      <c r="D29" s="1104"/>
      <c r="E29" s="1104"/>
      <c r="F29" s="1104"/>
      <c r="G29" s="1104"/>
      <c r="H29" s="1104"/>
      <c r="I29" s="1104"/>
      <c r="J29" s="1104"/>
      <c r="K29" s="1104"/>
    </row>
    <row r="30" spans="1:12" ht="15" x14ac:dyDescent="0.2">
      <c r="A30" s="1104" t="s">
        <v>19</v>
      </c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</row>
    <row r="31" spans="1:12" ht="15" x14ac:dyDescent="0.25">
      <c r="A31" s="51"/>
      <c r="B31" s="51"/>
      <c r="C31" s="51"/>
      <c r="D31" s="51"/>
      <c r="E31" s="51"/>
      <c r="F31" s="51"/>
      <c r="G31" s="51"/>
      <c r="I31" s="51" t="s">
        <v>84</v>
      </c>
      <c r="J31" s="51"/>
      <c r="K31" s="51"/>
    </row>
  </sheetData>
  <mergeCells count="20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A23:B23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honeticPr fontId="0" type="noConversion"/>
  <printOptions horizontalCentered="1"/>
  <pageMargins left="0.70866141732283472" right="0.35" top="0.23622047244094491" bottom="0" header="0.31496062992125984" footer="0.31496062992125984"/>
  <pageSetup paperSize="9" scale="8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S32"/>
  <sheetViews>
    <sheetView topLeftCell="A13" zoomScaleSheetLayoutView="100" workbookViewId="0">
      <selection activeCell="C29" sqref="C29"/>
    </sheetView>
  </sheetViews>
  <sheetFormatPr defaultColWidth="9.140625" defaultRowHeight="14.25" x14ac:dyDescent="0.2"/>
  <cols>
    <col min="1" max="1" width="4.7109375" style="46" customWidth="1"/>
    <col min="2" max="2" width="15.85546875" style="46" customWidth="1"/>
    <col min="3" max="3" width="11.7109375" style="46" customWidth="1"/>
    <col min="4" max="4" width="12" style="46" customWidth="1"/>
    <col min="5" max="5" width="11.85546875" style="46" customWidth="1"/>
    <col min="6" max="6" width="18.85546875" style="46" customWidth="1"/>
    <col min="7" max="7" width="10.140625" style="46" customWidth="1"/>
    <col min="8" max="8" width="14.7109375" style="46" customWidth="1"/>
    <col min="9" max="9" width="15.28515625" style="46" customWidth="1"/>
    <col min="10" max="10" width="14.7109375" style="46" customWidth="1"/>
    <col min="11" max="11" width="12.5703125" style="46" customWidth="1"/>
    <col min="12" max="16384" width="9.140625" style="46"/>
  </cols>
  <sheetData>
    <row r="1" spans="1:19" ht="15" customHeight="1" x14ac:dyDescent="0.25">
      <c r="C1" s="796"/>
      <c r="D1" s="796"/>
      <c r="E1" s="796"/>
      <c r="F1" s="796"/>
      <c r="G1" s="796"/>
      <c r="H1" s="796"/>
      <c r="I1" s="142"/>
      <c r="J1" s="38" t="s">
        <v>528</v>
      </c>
    </row>
    <row r="2" spans="1:19" s="53" customFormat="1" ht="19.5" customHeight="1" x14ac:dyDescent="0.2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</row>
    <row r="3" spans="1:19" s="53" customFormat="1" ht="19.5" customHeight="1" x14ac:dyDescent="0.2">
      <c r="A3" s="1100" t="s">
        <v>740</v>
      </c>
      <c r="B3" s="1100"/>
      <c r="C3" s="1100"/>
      <c r="D3" s="1100"/>
      <c r="E3" s="1100"/>
      <c r="F3" s="1100"/>
      <c r="G3" s="1100"/>
      <c r="H3" s="1100"/>
      <c r="I3" s="1100"/>
      <c r="J3" s="1100"/>
    </row>
    <row r="4" spans="1:19" s="53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9" s="53" customFormat="1" ht="18" customHeight="1" x14ac:dyDescent="0.2">
      <c r="A5" s="1033" t="s">
        <v>747</v>
      </c>
      <c r="B5" s="1033"/>
      <c r="C5" s="1033"/>
      <c r="D5" s="1033"/>
      <c r="E5" s="1033"/>
      <c r="F5" s="1033"/>
      <c r="G5" s="1033"/>
      <c r="H5" s="1033"/>
      <c r="I5" s="1033"/>
      <c r="J5" s="1033"/>
    </row>
    <row r="6" spans="1:19" ht="15.75" x14ac:dyDescent="0.25">
      <c r="A6" s="820" t="s">
        <v>920</v>
      </c>
      <c r="B6" s="820"/>
      <c r="C6" s="119"/>
      <c r="D6" s="119"/>
      <c r="E6" s="119"/>
      <c r="F6" s="119"/>
      <c r="G6" s="119"/>
      <c r="H6" s="119"/>
      <c r="I6" s="140"/>
      <c r="J6" s="140"/>
    </row>
    <row r="7" spans="1:19" ht="29.25" customHeight="1" x14ac:dyDescent="0.2">
      <c r="A7" s="1105" t="s">
        <v>74</v>
      </c>
      <c r="B7" s="1105" t="s">
        <v>75</v>
      </c>
      <c r="C7" s="1105" t="s">
        <v>76</v>
      </c>
      <c r="D7" s="1105" t="s">
        <v>153</v>
      </c>
      <c r="E7" s="1105"/>
      <c r="F7" s="1105"/>
      <c r="G7" s="1105"/>
      <c r="H7" s="1105"/>
      <c r="I7" s="1108" t="s">
        <v>233</v>
      </c>
      <c r="J7" s="1105" t="s">
        <v>77</v>
      </c>
      <c r="K7" s="1105" t="s">
        <v>221</v>
      </c>
    </row>
    <row r="8" spans="1:19" ht="34.15" customHeight="1" x14ac:dyDescent="0.2">
      <c r="A8" s="1105"/>
      <c r="B8" s="1105"/>
      <c r="C8" s="1105"/>
      <c r="D8" s="1105" t="s">
        <v>79</v>
      </c>
      <c r="E8" s="1105" t="s">
        <v>80</v>
      </c>
      <c r="F8" s="1105"/>
      <c r="G8" s="1105"/>
      <c r="H8" s="1108" t="s">
        <v>81</v>
      </c>
      <c r="I8" s="1109"/>
      <c r="J8" s="1105"/>
      <c r="K8" s="1105"/>
      <c r="R8" s="52"/>
      <c r="S8" s="52"/>
    </row>
    <row r="9" spans="1:19" ht="33.75" customHeight="1" x14ac:dyDescent="0.2">
      <c r="A9" s="1105"/>
      <c r="B9" s="1105"/>
      <c r="C9" s="1105"/>
      <c r="D9" s="1105"/>
      <c r="E9" s="48" t="s">
        <v>82</v>
      </c>
      <c r="F9" s="48" t="s">
        <v>83</v>
      </c>
      <c r="G9" s="48" t="s">
        <v>18</v>
      </c>
      <c r="H9" s="1110"/>
      <c r="I9" s="1110"/>
      <c r="J9" s="1105"/>
      <c r="K9" s="1105"/>
    </row>
    <row r="10" spans="1:19" s="54" customFormat="1" ht="17.100000000000001" customHeight="1" x14ac:dyDescent="0.2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</row>
    <row r="11" spans="1:19" ht="17.100000000000001" customHeight="1" x14ac:dyDescent="0.2">
      <c r="A11" s="55">
        <v>1</v>
      </c>
      <c r="B11" s="56" t="s">
        <v>833</v>
      </c>
      <c r="C11" s="50">
        <v>30</v>
      </c>
      <c r="D11" s="50">
        <v>0</v>
      </c>
      <c r="E11" s="50">
        <v>4</v>
      </c>
      <c r="F11" s="50">
        <v>4</v>
      </c>
      <c r="G11" s="50">
        <v>8</v>
      </c>
      <c r="H11" s="50">
        <v>8</v>
      </c>
      <c r="I11" s="50">
        <v>22</v>
      </c>
      <c r="J11" s="50">
        <v>22</v>
      </c>
      <c r="K11" s="49"/>
    </row>
    <row r="12" spans="1:19" ht="17.100000000000001" customHeight="1" x14ac:dyDescent="0.2">
      <c r="A12" s="55">
        <v>2</v>
      </c>
      <c r="B12" s="56" t="s">
        <v>834</v>
      </c>
      <c r="C12" s="50">
        <v>31</v>
      </c>
      <c r="D12" s="50">
        <v>0</v>
      </c>
      <c r="E12" s="50">
        <v>5</v>
      </c>
      <c r="F12" s="50">
        <v>12</v>
      </c>
      <c r="G12" s="50">
        <v>17</v>
      </c>
      <c r="H12" s="50">
        <v>17</v>
      </c>
      <c r="I12" s="50">
        <v>14</v>
      </c>
      <c r="J12" s="50">
        <v>14</v>
      </c>
      <c r="K12" s="49"/>
    </row>
    <row r="13" spans="1:19" ht="17.100000000000001" customHeight="1" x14ac:dyDescent="0.2">
      <c r="A13" s="55">
        <v>3</v>
      </c>
      <c r="B13" s="56" t="s">
        <v>835</v>
      </c>
      <c r="C13" s="50">
        <v>30</v>
      </c>
      <c r="D13" s="50">
        <v>0</v>
      </c>
      <c r="E13" s="50">
        <v>4</v>
      </c>
      <c r="F13" s="50">
        <v>10</v>
      </c>
      <c r="G13" s="50">
        <v>14</v>
      </c>
      <c r="H13" s="50">
        <v>14</v>
      </c>
      <c r="I13" s="50">
        <v>16</v>
      </c>
      <c r="J13" s="50">
        <v>16</v>
      </c>
      <c r="K13" s="56"/>
    </row>
    <row r="14" spans="1:19" ht="17.100000000000001" customHeight="1" x14ac:dyDescent="0.2">
      <c r="A14" s="55">
        <v>4</v>
      </c>
      <c r="B14" s="56" t="s">
        <v>836</v>
      </c>
      <c r="C14" s="50">
        <v>31</v>
      </c>
      <c r="D14" s="50">
        <v>0</v>
      </c>
      <c r="E14" s="50">
        <v>4</v>
      </c>
      <c r="F14" s="50">
        <v>1</v>
      </c>
      <c r="G14" s="50">
        <v>5</v>
      </c>
      <c r="H14" s="50">
        <v>5</v>
      </c>
      <c r="I14" s="50">
        <v>26</v>
      </c>
      <c r="J14" s="50">
        <v>26</v>
      </c>
      <c r="K14" s="56"/>
    </row>
    <row r="15" spans="1:19" ht="17.100000000000001" customHeight="1" x14ac:dyDescent="0.2">
      <c r="A15" s="55">
        <v>5</v>
      </c>
      <c r="B15" s="56" t="s">
        <v>837</v>
      </c>
      <c r="C15" s="50">
        <v>31</v>
      </c>
      <c r="D15" s="50">
        <v>1</v>
      </c>
      <c r="E15" s="50">
        <v>5</v>
      </c>
      <c r="F15" s="50">
        <v>2</v>
      </c>
      <c r="G15" s="50">
        <v>7</v>
      </c>
      <c r="H15" s="50">
        <v>8</v>
      </c>
      <c r="I15" s="50">
        <v>23</v>
      </c>
      <c r="J15" s="50">
        <v>23</v>
      </c>
      <c r="K15" s="56"/>
    </row>
    <row r="16" spans="1:19" s="54" customFormat="1" ht="17.100000000000001" customHeight="1" x14ac:dyDescent="0.2">
      <c r="A16" s="55">
        <v>6</v>
      </c>
      <c r="B16" s="56" t="s">
        <v>838</v>
      </c>
      <c r="C16" s="55">
        <v>30</v>
      </c>
      <c r="D16" s="50">
        <v>0</v>
      </c>
      <c r="E16" s="50">
        <v>4</v>
      </c>
      <c r="F16" s="50">
        <v>2</v>
      </c>
      <c r="G16" s="50">
        <v>6</v>
      </c>
      <c r="H16" s="50">
        <v>6</v>
      </c>
      <c r="I16" s="50">
        <v>24</v>
      </c>
      <c r="J16" s="50">
        <v>24</v>
      </c>
      <c r="K16" s="56"/>
    </row>
    <row r="17" spans="1:11" s="54" customFormat="1" ht="17.100000000000001" customHeight="1" x14ac:dyDescent="0.2">
      <c r="A17" s="55">
        <v>7</v>
      </c>
      <c r="B17" s="56" t="s">
        <v>839</v>
      </c>
      <c r="C17" s="55">
        <v>31</v>
      </c>
      <c r="D17" s="50">
        <v>1</v>
      </c>
      <c r="E17" s="50">
        <v>4</v>
      </c>
      <c r="F17" s="50">
        <v>10</v>
      </c>
      <c r="G17" s="50">
        <v>14</v>
      </c>
      <c r="H17" s="50">
        <v>15</v>
      </c>
      <c r="I17" s="50">
        <v>16</v>
      </c>
      <c r="J17" s="50">
        <v>16</v>
      </c>
      <c r="K17" s="56"/>
    </row>
    <row r="18" spans="1:11" s="54" customFormat="1" ht="17.100000000000001" customHeight="1" x14ac:dyDescent="0.2">
      <c r="A18" s="55">
        <v>8</v>
      </c>
      <c r="B18" s="56" t="s">
        <v>840</v>
      </c>
      <c r="C18" s="55">
        <v>30</v>
      </c>
      <c r="D18" s="50">
        <v>0</v>
      </c>
      <c r="E18" s="50">
        <v>5</v>
      </c>
      <c r="F18" s="50">
        <v>3</v>
      </c>
      <c r="G18" s="50">
        <v>8</v>
      </c>
      <c r="H18" s="50">
        <v>8</v>
      </c>
      <c r="I18" s="50">
        <v>22</v>
      </c>
      <c r="J18" s="50">
        <v>22</v>
      </c>
      <c r="K18" s="56"/>
    </row>
    <row r="19" spans="1:11" s="54" customFormat="1" ht="17.100000000000001" customHeight="1" x14ac:dyDescent="0.2">
      <c r="A19" s="55">
        <v>9</v>
      </c>
      <c r="B19" s="56" t="s">
        <v>841</v>
      </c>
      <c r="C19" s="55">
        <v>31</v>
      </c>
      <c r="D19" s="50">
        <v>0</v>
      </c>
      <c r="E19" s="50">
        <v>4</v>
      </c>
      <c r="F19" s="50">
        <v>5</v>
      </c>
      <c r="G19" s="50">
        <v>9</v>
      </c>
      <c r="H19" s="50">
        <v>9</v>
      </c>
      <c r="I19" s="50">
        <v>22</v>
      </c>
      <c r="J19" s="50">
        <v>22</v>
      </c>
      <c r="K19" s="56"/>
    </row>
    <row r="20" spans="1:11" s="54" customFormat="1" ht="17.100000000000001" customHeight="1" x14ac:dyDescent="0.2">
      <c r="A20" s="55">
        <v>10</v>
      </c>
      <c r="B20" s="56" t="s">
        <v>842</v>
      </c>
      <c r="C20" s="55">
        <v>31</v>
      </c>
      <c r="D20" s="50">
        <v>1</v>
      </c>
      <c r="E20" s="50">
        <v>5</v>
      </c>
      <c r="F20" s="50">
        <v>4</v>
      </c>
      <c r="G20" s="50">
        <v>9</v>
      </c>
      <c r="H20" s="50">
        <v>10</v>
      </c>
      <c r="I20" s="50">
        <v>21</v>
      </c>
      <c r="J20" s="50">
        <v>21</v>
      </c>
      <c r="K20" s="56"/>
    </row>
    <row r="21" spans="1:11" s="54" customFormat="1" ht="17.100000000000001" customHeight="1" x14ac:dyDescent="0.2">
      <c r="A21" s="55">
        <v>11</v>
      </c>
      <c r="B21" s="56" t="s">
        <v>843</v>
      </c>
      <c r="C21" s="55">
        <v>28</v>
      </c>
      <c r="D21" s="50">
        <v>0</v>
      </c>
      <c r="E21" s="50">
        <v>4</v>
      </c>
      <c r="F21" s="50">
        <v>1</v>
      </c>
      <c r="G21" s="50">
        <v>5</v>
      </c>
      <c r="H21" s="50">
        <v>5</v>
      </c>
      <c r="I21" s="50">
        <v>23</v>
      </c>
      <c r="J21" s="50">
        <v>23</v>
      </c>
      <c r="K21" s="56"/>
    </row>
    <row r="22" spans="1:11" s="54" customFormat="1" ht="17.100000000000001" customHeight="1" x14ac:dyDescent="0.2">
      <c r="A22" s="55">
        <v>12</v>
      </c>
      <c r="B22" s="56" t="s">
        <v>844</v>
      </c>
      <c r="C22" s="55">
        <v>31</v>
      </c>
      <c r="D22" s="50">
        <v>0</v>
      </c>
      <c r="E22" s="50">
        <v>4</v>
      </c>
      <c r="F22" s="50">
        <v>3</v>
      </c>
      <c r="G22" s="50">
        <v>7</v>
      </c>
      <c r="H22" s="50">
        <v>7</v>
      </c>
      <c r="I22" s="50">
        <v>24</v>
      </c>
      <c r="J22" s="50">
        <v>24</v>
      </c>
      <c r="K22" s="56"/>
    </row>
    <row r="23" spans="1:11" s="54" customFormat="1" ht="17.100000000000001" customHeight="1" x14ac:dyDescent="0.2">
      <c r="A23" s="1106" t="s">
        <v>18</v>
      </c>
      <c r="B23" s="1107"/>
      <c r="C23" s="55">
        <f>SUM(C11:C22)</f>
        <v>365</v>
      </c>
      <c r="D23" s="55">
        <f t="shared" ref="D23:J23" si="0">SUM(D11:D22)</f>
        <v>3</v>
      </c>
      <c r="E23" s="55">
        <f t="shared" si="0"/>
        <v>52</v>
      </c>
      <c r="F23" s="55">
        <f t="shared" si="0"/>
        <v>57</v>
      </c>
      <c r="G23" s="55">
        <f t="shared" si="0"/>
        <v>109</v>
      </c>
      <c r="H23" s="55">
        <f t="shared" si="0"/>
        <v>112</v>
      </c>
      <c r="I23" s="55">
        <f t="shared" si="0"/>
        <v>253</v>
      </c>
      <c r="J23" s="55">
        <f t="shared" si="0"/>
        <v>253</v>
      </c>
      <c r="K23" s="56"/>
    </row>
    <row r="24" spans="1:11" s="54" customFormat="1" ht="11.25" customHeight="1" x14ac:dyDescent="0.2">
      <c r="A24" s="57"/>
      <c r="B24" s="58"/>
      <c r="C24" s="59"/>
      <c r="D24" s="57"/>
      <c r="E24" s="57"/>
      <c r="F24" s="57"/>
      <c r="G24" s="57"/>
      <c r="H24" s="57"/>
      <c r="I24" s="57"/>
      <c r="J24" s="57"/>
      <c r="K24" s="57"/>
    </row>
    <row r="25" spans="1:11" ht="15" x14ac:dyDescent="0.25">
      <c r="A25" s="51" t="s">
        <v>108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1" ht="15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1" ht="1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1" x14ac:dyDescent="0.2">
      <c r="D28" s="46" t="s">
        <v>10</v>
      </c>
    </row>
    <row r="29" spans="1:11" ht="15" x14ac:dyDescent="0.25">
      <c r="A29" s="51" t="s">
        <v>11</v>
      </c>
      <c r="B29" s="51"/>
      <c r="C29" s="51"/>
      <c r="D29" s="51"/>
      <c r="E29" s="51"/>
      <c r="F29" s="51"/>
      <c r="G29" s="51"/>
      <c r="H29" s="51"/>
      <c r="I29" s="647" t="s">
        <v>12</v>
      </c>
      <c r="J29" s="138"/>
    </row>
    <row r="30" spans="1:11" ht="15" x14ac:dyDescent="0.2">
      <c r="A30" s="1104" t="s">
        <v>13</v>
      </c>
      <c r="B30" s="1104"/>
      <c r="C30" s="1104"/>
      <c r="D30" s="1104"/>
      <c r="E30" s="1104"/>
      <c r="F30" s="1104"/>
      <c r="G30" s="1104"/>
      <c r="H30" s="1104"/>
      <c r="I30" s="1104"/>
      <c r="J30" s="1104"/>
    </row>
    <row r="31" spans="1:11" ht="15" x14ac:dyDescent="0.2">
      <c r="A31" s="1104" t="s">
        <v>19</v>
      </c>
      <c r="B31" s="1104"/>
      <c r="C31" s="1104"/>
      <c r="D31" s="1104"/>
      <c r="E31" s="1104"/>
      <c r="F31" s="1104"/>
      <c r="G31" s="1104"/>
      <c r="H31" s="1104"/>
      <c r="I31" s="1104"/>
      <c r="J31" s="1104"/>
    </row>
    <row r="32" spans="1:11" ht="15" x14ac:dyDescent="0.25">
      <c r="A32" s="51"/>
      <c r="B32" s="51"/>
      <c r="C32" s="51"/>
      <c r="D32" s="51"/>
      <c r="E32" s="51"/>
      <c r="F32" s="51"/>
      <c r="G32" s="51"/>
      <c r="H32" s="51" t="s">
        <v>84</v>
      </c>
      <c r="I32" s="51"/>
      <c r="J32" s="51"/>
    </row>
  </sheetData>
  <mergeCells count="18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A23:B23"/>
    <mergeCell ref="K7:K9"/>
    <mergeCell ref="H8:H9"/>
    <mergeCell ref="C1:H1"/>
    <mergeCell ref="A2:J2"/>
    <mergeCell ref="A3:J3"/>
    <mergeCell ref="A5:J5"/>
    <mergeCell ref="A6:B6"/>
  </mergeCells>
  <phoneticPr fontId="0" type="noConversion"/>
  <printOptions horizontalCentered="1"/>
  <pageMargins left="0.70866141732283472" right="0.25" top="0.23622047244094491" bottom="0" header="0.31496062992125984" footer="0.31496062992125984"/>
  <pageSetup paperSize="9" scale="9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T43"/>
  <sheetViews>
    <sheetView topLeftCell="D19" zoomScale="90" zoomScaleNormal="90" zoomScaleSheetLayoutView="100" workbookViewId="0">
      <selection activeCell="G35" sqref="G35"/>
    </sheetView>
  </sheetViews>
  <sheetFormatPr defaultRowHeight="12.75" x14ac:dyDescent="0.2"/>
  <cols>
    <col min="1" max="1" width="5.5703125" style="574" customWidth="1"/>
    <col min="2" max="2" width="21.5703125" style="574" bestFit="1" customWidth="1"/>
    <col min="3" max="3" width="10.28515625" style="574" customWidth="1"/>
    <col min="4" max="4" width="8.85546875" style="574" customWidth="1"/>
    <col min="5" max="6" width="9.85546875" style="574" customWidth="1"/>
    <col min="7" max="7" width="10.85546875" style="574" customWidth="1"/>
    <col min="8" max="8" width="12.85546875" style="574" customWidth="1"/>
    <col min="9" max="16" width="13" style="574" customWidth="1"/>
    <col min="17" max="17" width="13.85546875" style="574" customWidth="1"/>
    <col min="18" max="20" width="13" style="574" customWidth="1"/>
    <col min="21" max="24" width="9.140625" style="574"/>
    <col min="25" max="25" width="11.140625" style="574" bestFit="1" customWidth="1"/>
    <col min="26" max="256" width="9.140625" style="574"/>
    <col min="257" max="257" width="5.5703125" style="574" customWidth="1"/>
    <col min="258" max="258" width="21.5703125" style="574" bestFit="1" customWidth="1"/>
    <col min="259" max="259" width="10.28515625" style="574" customWidth="1"/>
    <col min="260" max="260" width="8.85546875" style="574" customWidth="1"/>
    <col min="261" max="262" width="9.85546875" style="574" customWidth="1"/>
    <col min="263" max="263" width="10.85546875" style="574" customWidth="1"/>
    <col min="264" max="264" width="12.85546875" style="574" customWidth="1"/>
    <col min="265" max="276" width="13" style="574" customWidth="1"/>
    <col min="277" max="280" width="9.140625" style="574"/>
    <col min="281" max="281" width="11.140625" style="574" bestFit="1" customWidth="1"/>
    <col min="282" max="512" width="9.140625" style="574"/>
    <col min="513" max="513" width="5.5703125" style="574" customWidth="1"/>
    <col min="514" max="514" width="21.5703125" style="574" bestFit="1" customWidth="1"/>
    <col min="515" max="515" width="10.28515625" style="574" customWidth="1"/>
    <col min="516" max="516" width="8.85546875" style="574" customWidth="1"/>
    <col min="517" max="518" width="9.85546875" style="574" customWidth="1"/>
    <col min="519" max="519" width="10.85546875" style="574" customWidth="1"/>
    <col min="520" max="520" width="12.85546875" style="574" customWidth="1"/>
    <col min="521" max="532" width="13" style="574" customWidth="1"/>
    <col min="533" max="536" width="9.140625" style="574"/>
    <col min="537" max="537" width="11.140625" style="574" bestFit="1" customWidth="1"/>
    <col min="538" max="768" width="9.140625" style="574"/>
    <col min="769" max="769" width="5.5703125" style="574" customWidth="1"/>
    <col min="770" max="770" width="21.5703125" style="574" bestFit="1" customWidth="1"/>
    <col min="771" max="771" width="10.28515625" style="574" customWidth="1"/>
    <col min="772" max="772" width="8.85546875" style="574" customWidth="1"/>
    <col min="773" max="774" width="9.85546875" style="574" customWidth="1"/>
    <col min="775" max="775" width="10.85546875" style="574" customWidth="1"/>
    <col min="776" max="776" width="12.85546875" style="574" customWidth="1"/>
    <col min="777" max="788" width="13" style="574" customWidth="1"/>
    <col min="789" max="792" width="9.140625" style="574"/>
    <col min="793" max="793" width="11.140625" style="574" bestFit="1" customWidth="1"/>
    <col min="794" max="1024" width="9.140625" style="574"/>
    <col min="1025" max="1025" width="5.5703125" style="574" customWidth="1"/>
    <col min="1026" max="1026" width="21.5703125" style="574" bestFit="1" customWidth="1"/>
    <col min="1027" max="1027" width="10.28515625" style="574" customWidth="1"/>
    <col min="1028" max="1028" width="8.85546875" style="574" customWidth="1"/>
    <col min="1029" max="1030" width="9.85546875" style="574" customWidth="1"/>
    <col min="1031" max="1031" width="10.85546875" style="574" customWidth="1"/>
    <col min="1032" max="1032" width="12.85546875" style="574" customWidth="1"/>
    <col min="1033" max="1044" width="13" style="574" customWidth="1"/>
    <col min="1045" max="1048" width="9.140625" style="574"/>
    <col min="1049" max="1049" width="11.140625" style="574" bestFit="1" customWidth="1"/>
    <col min="1050" max="1280" width="9.140625" style="574"/>
    <col min="1281" max="1281" width="5.5703125" style="574" customWidth="1"/>
    <col min="1282" max="1282" width="21.5703125" style="574" bestFit="1" customWidth="1"/>
    <col min="1283" max="1283" width="10.28515625" style="574" customWidth="1"/>
    <col min="1284" max="1284" width="8.85546875" style="574" customWidth="1"/>
    <col min="1285" max="1286" width="9.85546875" style="574" customWidth="1"/>
    <col min="1287" max="1287" width="10.85546875" style="574" customWidth="1"/>
    <col min="1288" max="1288" width="12.85546875" style="574" customWidth="1"/>
    <col min="1289" max="1300" width="13" style="574" customWidth="1"/>
    <col min="1301" max="1304" width="9.140625" style="574"/>
    <col min="1305" max="1305" width="11.140625" style="574" bestFit="1" customWidth="1"/>
    <col min="1306" max="1536" width="9.140625" style="574"/>
    <col min="1537" max="1537" width="5.5703125" style="574" customWidth="1"/>
    <col min="1538" max="1538" width="21.5703125" style="574" bestFit="1" customWidth="1"/>
    <col min="1539" max="1539" width="10.28515625" style="574" customWidth="1"/>
    <col min="1540" max="1540" width="8.85546875" style="574" customWidth="1"/>
    <col min="1541" max="1542" width="9.85546875" style="574" customWidth="1"/>
    <col min="1543" max="1543" width="10.85546875" style="574" customWidth="1"/>
    <col min="1544" max="1544" width="12.85546875" style="574" customWidth="1"/>
    <col min="1545" max="1556" width="13" style="574" customWidth="1"/>
    <col min="1557" max="1560" width="9.140625" style="574"/>
    <col min="1561" max="1561" width="11.140625" style="574" bestFit="1" customWidth="1"/>
    <col min="1562" max="1792" width="9.140625" style="574"/>
    <col min="1793" max="1793" width="5.5703125" style="574" customWidth="1"/>
    <col min="1794" max="1794" width="21.5703125" style="574" bestFit="1" customWidth="1"/>
    <col min="1795" max="1795" width="10.28515625" style="574" customWidth="1"/>
    <col min="1796" max="1796" width="8.85546875" style="574" customWidth="1"/>
    <col min="1797" max="1798" width="9.85546875" style="574" customWidth="1"/>
    <col min="1799" max="1799" width="10.85546875" style="574" customWidth="1"/>
    <col min="1800" max="1800" width="12.85546875" style="574" customWidth="1"/>
    <col min="1801" max="1812" width="13" style="574" customWidth="1"/>
    <col min="1813" max="1816" width="9.140625" style="574"/>
    <col min="1817" max="1817" width="11.140625" style="574" bestFit="1" customWidth="1"/>
    <col min="1818" max="2048" width="9.140625" style="574"/>
    <col min="2049" max="2049" width="5.5703125" style="574" customWidth="1"/>
    <col min="2050" max="2050" width="21.5703125" style="574" bestFit="1" customWidth="1"/>
    <col min="2051" max="2051" width="10.28515625" style="574" customWidth="1"/>
    <col min="2052" max="2052" width="8.85546875" style="574" customWidth="1"/>
    <col min="2053" max="2054" width="9.85546875" style="574" customWidth="1"/>
    <col min="2055" max="2055" width="10.85546875" style="574" customWidth="1"/>
    <col min="2056" max="2056" width="12.85546875" style="574" customWidth="1"/>
    <col min="2057" max="2068" width="13" style="574" customWidth="1"/>
    <col min="2069" max="2072" width="9.140625" style="574"/>
    <col min="2073" max="2073" width="11.140625" style="574" bestFit="1" customWidth="1"/>
    <col min="2074" max="2304" width="9.140625" style="574"/>
    <col min="2305" max="2305" width="5.5703125" style="574" customWidth="1"/>
    <col min="2306" max="2306" width="21.5703125" style="574" bestFit="1" customWidth="1"/>
    <col min="2307" max="2307" width="10.28515625" style="574" customWidth="1"/>
    <col min="2308" max="2308" width="8.85546875" style="574" customWidth="1"/>
    <col min="2309" max="2310" width="9.85546875" style="574" customWidth="1"/>
    <col min="2311" max="2311" width="10.85546875" style="574" customWidth="1"/>
    <col min="2312" max="2312" width="12.85546875" style="574" customWidth="1"/>
    <col min="2313" max="2324" width="13" style="574" customWidth="1"/>
    <col min="2325" max="2328" width="9.140625" style="574"/>
    <col min="2329" max="2329" width="11.140625" style="574" bestFit="1" customWidth="1"/>
    <col min="2330" max="2560" width="9.140625" style="574"/>
    <col min="2561" max="2561" width="5.5703125" style="574" customWidth="1"/>
    <col min="2562" max="2562" width="21.5703125" style="574" bestFit="1" customWidth="1"/>
    <col min="2563" max="2563" width="10.28515625" style="574" customWidth="1"/>
    <col min="2564" max="2564" width="8.85546875" style="574" customWidth="1"/>
    <col min="2565" max="2566" width="9.85546875" style="574" customWidth="1"/>
    <col min="2567" max="2567" width="10.85546875" style="574" customWidth="1"/>
    <col min="2568" max="2568" width="12.85546875" style="574" customWidth="1"/>
    <col min="2569" max="2580" width="13" style="574" customWidth="1"/>
    <col min="2581" max="2584" width="9.140625" style="574"/>
    <col min="2585" max="2585" width="11.140625" style="574" bestFit="1" customWidth="1"/>
    <col min="2586" max="2816" width="9.140625" style="574"/>
    <col min="2817" max="2817" width="5.5703125" style="574" customWidth="1"/>
    <col min="2818" max="2818" width="21.5703125" style="574" bestFit="1" customWidth="1"/>
    <col min="2819" max="2819" width="10.28515625" style="574" customWidth="1"/>
    <col min="2820" max="2820" width="8.85546875" style="574" customWidth="1"/>
    <col min="2821" max="2822" width="9.85546875" style="574" customWidth="1"/>
    <col min="2823" max="2823" width="10.85546875" style="574" customWidth="1"/>
    <col min="2824" max="2824" width="12.85546875" style="574" customWidth="1"/>
    <col min="2825" max="2836" width="13" style="574" customWidth="1"/>
    <col min="2837" max="2840" width="9.140625" style="574"/>
    <col min="2841" max="2841" width="11.140625" style="574" bestFit="1" customWidth="1"/>
    <col min="2842" max="3072" width="9.140625" style="574"/>
    <col min="3073" max="3073" width="5.5703125" style="574" customWidth="1"/>
    <col min="3074" max="3074" width="21.5703125" style="574" bestFit="1" customWidth="1"/>
    <col min="3075" max="3075" width="10.28515625" style="574" customWidth="1"/>
    <col min="3076" max="3076" width="8.85546875" style="574" customWidth="1"/>
    <col min="3077" max="3078" width="9.85546875" style="574" customWidth="1"/>
    <col min="3079" max="3079" width="10.85546875" style="574" customWidth="1"/>
    <col min="3080" max="3080" width="12.85546875" style="574" customWidth="1"/>
    <col min="3081" max="3092" width="13" style="574" customWidth="1"/>
    <col min="3093" max="3096" width="9.140625" style="574"/>
    <col min="3097" max="3097" width="11.140625" style="574" bestFit="1" customWidth="1"/>
    <col min="3098" max="3328" width="9.140625" style="574"/>
    <col min="3329" max="3329" width="5.5703125" style="574" customWidth="1"/>
    <col min="3330" max="3330" width="21.5703125" style="574" bestFit="1" customWidth="1"/>
    <col min="3331" max="3331" width="10.28515625" style="574" customWidth="1"/>
    <col min="3332" max="3332" width="8.85546875" style="574" customWidth="1"/>
    <col min="3333" max="3334" width="9.85546875" style="574" customWidth="1"/>
    <col min="3335" max="3335" width="10.85546875" style="574" customWidth="1"/>
    <col min="3336" max="3336" width="12.85546875" style="574" customWidth="1"/>
    <col min="3337" max="3348" width="13" style="574" customWidth="1"/>
    <col min="3349" max="3352" width="9.140625" style="574"/>
    <col min="3353" max="3353" width="11.140625" style="574" bestFit="1" customWidth="1"/>
    <col min="3354" max="3584" width="9.140625" style="574"/>
    <col min="3585" max="3585" width="5.5703125" style="574" customWidth="1"/>
    <col min="3586" max="3586" width="21.5703125" style="574" bestFit="1" customWidth="1"/>
    <col min="3587" max="3587" width="10.28515625" style="574" customWidth="1"/>
    <col min="3588" max="3588" width="8.85546875" style="574" customWidth="1"/>
    <col min="3589" max="3590" width="9.85546875" style="574" customWidth="1"/>
    <col min="3591" max="3591" width="10.85546875" style="574" customWidth="1"/>
    <col min="3592" max="3592" width="12.85546875" style="574" customWidth="1"/>
    <col min="3593" max="3604" width="13" style="574" customWidth="1"/>
    <col min="3605" max="3608" width="9.140625" style="574"/>
    <col min="3609" max="3609" width="11.140625" style="574" bestFit="1" customWidth="1"/>
    <col min="3610" max="3840" width="9.140625" style="574"/>
    <col min="3841" max="3841" width="5.5703125" style="574" customWidth="1"/>
    <col min="3842" max="3842" width="21.5703125" style="574" bestFit="1" customWidth="1"/>
    <col min="3843" max="3843" width="10.28515625" style="574" customWidth="1"/>
    <col min="3844" max="3844" width="8.85546875" style="574" customWidth="1"/>
    <col min="3845" max="3846" width="9.85546875" style="574" customWidth="1"/>
    <col min="3847" max="3847" width="10.85546875" style="574" customWidth="1"/>
    <col min="3848" max="3848" width="12.85546875" style="574" customWidth="1"/>
    <col min="3849" max="3860" width="13" style="574" customWidth="1"/>
    <col min="3861" max="3864" width="9.140625" style="574"/>
    <col min="3865" max="3865" width="11.140625" style="574" bestFit="1" customWidth="1"/>
    <col min="3866" max="4096" width="9.140625" style="574"/>
    <col min="4097" max="4097" width="5.5703125" style="574" customWidth="1"/>
    <col min="4098" max="4098" width="21.5703125" style="574" bestFit="1" customWidth="1"/>
    <col min="4099" max="4099" width="10.28515625" style="574" customWidth="1"/>
    <col min="4100" max="4100" width="8.85546875" style="574" customWidth="1"/>
    <col min="4101" max="4102" width="9.85546875" style="574" customWidth="1"/>
    <col min="4103" max="4103" width="10.85546875" style="574" customWidth="1"/>
    <col min="4104" max="4104" width="12.85546875" style="574" customWidth="1"/>
    <col min="4105" max="4116" width="13" style="574" customWidth="1"/>
    <col min="4117" max="4120" width="9.140625" style="574"/>
    <col min="4121" max="4121" width="11.140625" style="574" bestFit="1" customWidth="1"/>
    <col min="4122" max="4352" width="9.140625" style="574"/>
    <col min="4353" max="4353" width="5.5703125" style="574" customWidth="1"/>
    <col min="4354" max="4354" width="21.5703125" style="574" bestFit="1" customWidth="1"/>
    <col min="4355" max="4355" width="10.28515625" style="574" customWidth="1"/>
    <col min="4356" max="4356" width="8.85546875" style="574" customWidth="1"/>
    <col min="4357" max="4358" width="9.85546875" style="574" customWidth="1"/>
    <col min="4359" max="4359" width="10.85546875" style="574" customWidth="1"/>
    <col min="4360" max="4360" width="12.85546875" style="574" customWidth="1"/>
    <col min="4361" max="4372" width="13" style="574" customWidth="1"/>
    <col min="4373" max="4376" width="9.140625" style="574"/>
    <col min="4377" max="4377" width="11.140625" style="574" bestFit="1" customWidth="1"/>
    <col min="4378" max="4608" width="9.140625" style="574"/>
    <col min="4609" max="4609" width="5.5703125" style="574" customWidth="1"/>
    <col min="4610" max="4610" width="21.5703125" style="574" bestFit="1" customWidth="1"/>
    <col min="4611" max="4611" width="10.28515625" style="574" customWidth="1"/>
    <col min="4612" max="4612" width="8.85546875" style="574" customWidth="1"/>
    <col min="4613" max="4614" width="9.85546875" style="574" customWidth="1"/>
    <col min="4615" max="4615" width="10.85546875" style="574" customWidth="1"/>
    <col min="4616" max="4616" width="12.85546875" style="574" customWidth="1"/>
    <col min="4617" max="4628" width="13" style="574" customWidth="1"/>
    <col min="4629" max="4632" width="9.140625" style="574"/>
    <col min="4633" max="4633" width="11.140625" style="574" bestFit="1" customWidth="1"/>
    <col min="4634" max="4864" width="9.140625" style="574"/>
    <col min="4865" max="4865" width="5.5703125" style="574" customWidth="1"/>
    <col min="4866" max="4866" width="21.5703125" style="574" bestFit="1" customWidth="1"/>
    <col min="4867" max="4867" width="10.28515625" style="574" customWidth="1"/>
    <col min="4868" max="4868" width="8.85546875" style="574" customWidth="1"/>
    <col min="4869" max="4870" width="9.85546875" style="574" customWidth="1"/>
    <col min="4871" max="4871" width="10.85546875" style="574" customWidth="1"/>
    <col min="4872" max="4872" width="12.85546875" style="574" customWidth="1"/>
    <col min="4873" max="4884" width="13" style="574" customWidth="1"/>
    <col min="4885" max="4888" width="9.140625" style="574"/>
    <col min="4889" max="4889" width="11.140625" style="574" bestFit="1" customWidth="1"/>
    <col min="4890" max="5120" width="9.140625" style="574"/>
    <col min="5121" max="5121" width="5.5703125" style="574" customWidth="1"/>
    <col min="5122" max="5122" width="21.5703125" style="574" bestFit="1" customWidth="1"/>
    <col min="5123" max="5123" width="10.28515625" style="574" customWidth="1"/>
    <col min="5124" max="5124" width="8.85546875" style="574" customWidth="1"/>
    <col min="5125" max="5126" width="9.85546875" style="574" customWidth="1"/>
    <col min="5127" max="5127" width="10.85546875" style="574" customWidth="1"/>
    <col min="5128" max="5128" width="12.85546875" style="574" customWidth="1"/>
    <col min="5129" max="5140" width="13" style="574" customWidth="1"/>
    <col min="5141" max="5144" width="9.140625" style="574"/>
    <col min="5145" max="5145" width="11.140625" style="574" bestFit="1" customWidth="1"/>
    <col min="5146" max="5376" width="9.140625" style="574"/>
    <col min="5377" max="5377" width="5.5703125" style="574" customWidth="1"/>
    <col min="5378" max="5378" width="21.5703125" style="574" bestFit="1" customWidth="1"/>
    <col min="5379" max="5379" width="10.28515625" style="574" customWidth="1"/>
    <col min="5380" max="5380" width="8.85546875" style="574" customWidth="1"/>
    <col min="5381" max="5382" width="9.85546875" style="574" customWidth="1"/>
    <col min="5383" max="5383" width="10.85546875" style="574" customWidth="1"/>
    <col min="5384" max="5384" width="12.85546875" style="574" customWidth="1"/>
    <col min="5385" max="5396" width="13" style="574" customWidth="1"/>
    <col min="5397" max="5400" width="9.140625" style="574"/>
    <col min="5401" max="5401" width="11.140625" style="574" bestFit="1" customWidth="1"/>
    <col min="5402" max="5632" width="9.140625" style="574"/>
    <col min="5633" max="5633" width="5.5703125" style="574" customWidth="1"/>
    <col min="5634" max="5634" width="21.5703125" style="574" bestFit="1" customWidth="1"/>
    <col min="5635" max="5635" width="10.28515625" style="574" customWidth="1"/>
    <col min="5636" max="5636" width="8.85546875" style="574" customWidth="1"/>
    <col min="5637" max="5638" width="9.85546875" style="574" customWidth="1"/>
    <col min="5639" max="5639" width="10.85546875" style="574" customWidth="1"/>
    <col min="5640" max="5640" width="12.85546875" style="574" customWidth="1"/>
    <col min="5641" max="5652" width="13" style="574" customWidth="1"/>
    <col min="5653" max="5656" width="9.140625" style="574"/>
    <col min="5657" max="5657" width="11.140625" style="574" bestFit="1" customWidth="1"/>
    <col min="5658" max="5888" width="9.140625" style="574"/>
    <col min="5889" max="5889" width="5.5703125" style="574" customWidth="1"/>
    <col min="5890" max="5890" width="21.5703125" style="574" bestFit="1" customWidth="1"/>
    <col min="5891" max="5891" width="10.28515625" style="574" customWidth="1"/>
    <col min="5892" max="5892" width="8.85546875" style="574" customWidth="1"/>
    <col min="5893" max="5894" width="9.85546875" style="574" customWidth="1"/>
    <col min="5895" max="5895" width="10.85546875" style="574" customWidth="1"/>
    <col min="5896" max="5896" width="12.85546875" style="574" customWidth="1"/>
    <col min="5897" max="5908" width="13" style="574" customWidth="1"/>
    <col min="5909" max="5912" width="9.140625" style="574"/>
    <col min="5913" max="5913" width="11.140625" style="574" bestFit="1" customWidth="1"/>
    <col min="5914" max="6144" width="9.140625" style="574"/>
    <col min="6145" max="6145" width="5.5703125" style="574" customWidth="1"/>
    <col min="6146" max="6146" width="21.5703125" style="574" bestFit="1" customWidth="1"/>
    <col min="6147" max="6147" width="10.28515625" style="574" customWidth="1"/>
    <col min="6148" max="6148" width="8.85546875" style="574" customWidth="1"/>
    <col min="6149" max="6150" width="9.85546875" style="574" customWidth="1"/>
    <col min="6151" max="6151" width="10.85546875" style="574" customWidth="1"/>
    <col min="6152" max="6152" width="12.85546875" style="574" customWidth="1"/>
    <col min="6153" max="6164" width="13" style="574" customWidth="1"/>
    <col min="6165" max="6168" width="9.140625" style="574"/>
    <col min="6169" max="6169" width="11.140625" style="574" bestFit="1" customWidth="1"/>
    <col min="6170" max="6400" width="9.140625" style="574"/>
    <col min="6401" max="6401" width="5.5703125" style="574" customWidth="1"/>
    <col min="6402" max="6402" width="21.5703125" style="574" bestFit="1" customWidth="1"/>
    <col min="6403" max="6403" width="10.28515625" style="574" customWidth="1"/>
    <col min="6404" max="6404" width="8.85546875" style="574" customWidth="1"/>
    <col min="6405" max="6406" width="9.85546875" style="574" customWidth="1"/>
    <col min="6407" max="6407" width="10.85546875" style="574" customWidth="1"/>
    <col min="6408" max="6408" width="12.85546875" style="574" customWidth="1"/>
    <col min="6409" max="6420" width="13" style="574" customWidth="1"/>
    <col min="6421" max="6424" width="9.140625" style="574"/>
    <col min="6425" max="6425" width="11.140625" style="574" bestFit="1" customWidth="1"/>
    <col min="6426" max="6656" width="9.140625" style="574"/>
    <col min="6657" max="6657" width="5.5703125" style="574" customWidth="1"/>
    <col min="6658" max="6658" width="21.5703125" style="574" bestFit="1" customWidth="1"/>
    <col min="6659" max="6659" width="10.28515625" style="574" customWidth="1"/>
    <col min="6660" max="6660" width="8.85546875" style="574" customWidth="1"/>
    <col min="6661" max="6662" width="9.85546875" style="574" customWidth="1"/>
    <col min="6663" max="6663" width="10.85546875" style="574" customWidth="1"/>
    <col min="6664" max="6664" width="12.85546875" style="574" customWidth="1"/>
    <col min="6665" max="6676" width="13" style="574" customWidth="1"/>
    <col min="6677" max="6680" width="9.140625" style="574"/>
    <col min="6681" max="6681" width="11.140625" style="574" bestFit="1" customWidth="1"/>
    <col min="6682" max="6912" width="9.140625" style="574"/>
    <col min="6913" max="6913" width="5.5703125" style="574" customWidth="1"/>
    <col min="6914" max="6914" width="21.5703125" style="574" bestFit="1" customWidth="1"/>
    <col min="6915" max="6915" width="10.28515625" style="574" customWidth="1"/>
    <col min="6916" max="6916" width="8.85546875" style="574" customWidth="1"/>
    <col min="6917" max="6918" width="9.85546875" style="574" customWidth="1"/>
    <col min="6919" max="6919" width="10.85546875" style="574" customWidth="1"/>
    <col min="6920" max="6920" width="12.85546875" style="574" customWidth="1"/>
    <col min="6921" max="6932" width="13" style="574" customWidth="1"/>
    <col min="6933" max="6936" width="9.140625" style="574"/>
    <col min="6937" max="6937" width="11.140625" style="574" bestFit="1" customWidth="1"/>
    <col min="6938" max="7168" width="9.140625" style="574"/>
    <col min="7169" max="7169" width="5.5703125" style="574" customWidth="1"/>
    <col min="7170" max="7170" width="21.5703125" style="574" bestFit="1" customWidth="1"/>
    <col min="7171" max="7171" width="10.28515625" style="574" customWidth="1"/>
    <col min="7172" max="7172" width="8.85546875" style="574" customWidth="1"/>
    <col min="7173" max="7174" width="9.85546875" style="574" customWidth="1"/>
    <col min="7175" max="7175" width="10.85546875" style="574" customWidth="1"/>
    <col min="7176" max="7176" width="12.85546875" style="574" customWidth="1"/>
    <col min="7177" max="7188" width="13" style="574" customWidth="1"/>
    <col min="7189" max="7192" width="9.140625" style="574"/>
    <col min="7193" max="7193" width="11.140625" style="574" bestFit="1" customWidth="1"/>
    <col min="7194" max="7424" width="9.140625" style="574"/>
    <col min="7425" max="7425" width="5.5703125" style="574" customWidth="1"/>
    <col min="7426" max="7426" width="21.5703125" style="574" bestFit="1" customWidth="1"/>
    <col min="7427" max="7427" width="10.28515625" style="574" customWidth="1"/>
    <col min="7428" max="7428" width="8.85546875" style="574" customWidth="1"/>
    <col min="7429" max="7430" width="9.85546875" style="574" customWidth="1"/>
    <col min="7431" max="7431" width="10.85546875" style="574" customWidth="1"/>
    <col min="7432" max="7432" width="12.85546875" style="574" customWidth="1"/>
    <col min="7433" max="7444" width="13" style="574" customWidth="1"/>
    <col min="7445" max="7448" width="9.140625" style="574"/>
    <col min="7449" max="7449" width="11.140625" style="574" bestFit="1" customWidth="1"/>
    <col min="7450" max="7680" width="9.140625" style="574"/>
    <col min="7681" max="7681" width="5.5703125" style="574" customWidth="1"/>
    <col min="7682" max="7682" width="21.5703125" style="574" bestFit="1" customWidth="1"/>
    <col min="7683" max="7683" width="10.28515625" style="574" customWidth="1"/>
    <col min="7684" max="7684" width="8.85546875" style="574" customWidth="1"/>
    <col min="7685" max="7686" width="9.85546875" style="574" customWidth="1"/>
    <col min="7687" max="7687" width="10.85546875" style="574" customWidth="1"/>
    <col min="7688" max="7688" width="12.85546875" style="574" customWidth="1"/>
    <col min="7689" max="7700" width="13" style="574" customWidth="1"/>
    <col min="7701" max="7704" width="9.140625" style="574"/>
    <col min="7705" max="7705" width="11.140625" style="574" bestFit="1" customWidth="1"/>
    <col min="7706" max="7936" width="9.140625" style="574"/>
    <col min="7937" max="7937" width="5.5703125" style="574" customWidth="1"/>
    <col min="7938" max="7938" width="21.5703125" style="574" bestFit="1" customWidth="1"/>
    <col min="7939" max="7939" width="10.28515625" style="574" customWidth="1"/>
    <col min="7940" max="7940" width="8.85546875" style="574" customWidth="1"/>
    <col min="7941" max="7942" width="9.85546875" style="574" customWidth="1"/>
    <col min="7943" max="7943" width="10.85546875" style="574" customWidth="1"/>
    <col min="7944" max="7944" width="12.85546875" style="574" customWidth="1"/>
    <col min="7945" max="7956" width="13" style="574" customWidth="1"/>
    <col min="7957" max="7960" width="9.140625" style="574"/>
    <col min="7961" max="7961" width="11.140625" style="574" bestFit="1" customWidth="1"/>
    <col min="7962" max="8192" width="9.140625" style="574"/>
    <col min="8193" max="8193" width="5.5703125" style="574" customWidth="1"/>
    <col min="8194" max="8194" width="21.5703125" style="574" bestFit="1" customWidth="1"/>
    <col min="8195" max="8195" width="10.28515625" style="574" customWidth="1"/>
    <col min="8196" max="8196" width="8.85546875" style="574" customWidth="1"/>
    <col min="8197" max="8198" width="9.85546875" style="574" customWidth="1"/>
    <col min="8199" max="8199" width="10.85546875" style="574" customWidth="1"/>
    <col min="8200" max="8200" width="12.85546875" style="574" customWidth="1"/>
    <col min="8201" max="8212" width="13" style="574" customWidth="1"/>
    <col min="8213" max="8216" width="9.140625" style="574"/>
    <col min="8217" max="8217" width="11.140625" style="574" bestFit="1" customWidth="1"/>
    <col min="8218" max="8448" width="9.140625" style="574"/>
    <col min="8449" max="8449" width="5.5703125" style="574" customWidth="1"/>
    <col min="8450" max="8450" width="21.5703125" style="574" bestFit="1" customWidth="1"/>
    <col min="8451" max="8451" width="10.28515625" style="574" customWidth="1"/>
    <col min="8452" max="8452" width="8.85546875" style="574" customWidth="1"/>
    <col min="8453" max="8454" width="9.85546875" style="574" customWidth="1"/>
    <col min="8455" max="8455" width="10.85546875" style="574" customWidth="1"/>
    <col min="8456" max="8456" width="12.85546875" style="574" customWidth="1"/>
    <col min="8457" max="8468" width="13" style="574" customWidth="1"/>
    <col min="8469" max="8472" width="9.140625" style="574"/>
    <col min="8473" max="8473" width="11.140625" style="574" bestFit="1" customWidth="1"/>
    <col min="8474" max="8704" width="9.140625" style="574"/>
    <col min="8705" max="8705" width="5.5703125" style="574" customWidth="1"/>
    <col min="8706" max="8706" width="21.5703125" style="574" bestFit="1" customWidth="1"/>
    <col min="8707" max="8707" width="10.28515625" style="574" customWidth="1"/>
    <col min="8708" max="8708" width="8.85546875" style="574" customWidth="1"/>
    <col min="8709" max="8710" width="9.85546875" style="574" customWidth="1"/>
    <col min="8711" max="8711" width="10.85546875" style="574" customWidth="1"/>
    <col min="8712" max="8712" width="12.85546875" style="574" customWidth="1"/>
    <col min="8713" max="8724" width="13" style="574" customWidth="1"/>
    <col min="8725" max="8728" width="9.140625" style="574"/>
    <col min="8729" max="8729" width="11.140625" style="574" bestFit="1" customWidth="1"/>
    <col min="8730" max="8960" width="9.140625" style="574"/>
    <col min="8961" max="8961" width="5.5703125" style="574" customWidth="1"/>
    <col min="8962" max="8962" width="21.5703125" style="574" bestFit="1" customWidth="1"/>
    <col min="8963" max="8963" width="10.28515625" style="574" customWidth="1"/>
    <col min="8964" max="8964" width="8.85546875" style="574" customWidth="1"/>
    <col min="8965" max="8966" width="9.85546875" style="574" customWidth="1"/>
    <col min="8967" max="8967" width="10.85546875" style="574" customWidth="1"/>
    <col min="8968" max="8968" width="12.85546875" style="574" customWidth="1"/>
    <col min="8969" max="8980" width="13" style="574" customWidth="1"/>
    <col min="8981" max="8984" width="9.140625" style="574"/>
    <col min="8985" max="8985" width="11.140625" style="574" bestFit="1" customWidth="1"/>
    <col min="8986" max="9216" width="9.140625" style="574"/>
    <col min="9217" max="9217" width="5.5703125" style="574" customWidth="1"/>
    <col min="9218" max="9218" width="21.5703125" style="574" bestFit="1" customWidth="1"/>
    <col min="9219" max="9219" width="10.28515625" style="574" customWidth="1"/>
    <col min="9220" max="9220" width="8.85546875" style="574" customWidth="1"/>
    <col min="9221" max="9222" width="9.85546875" style="574" customWidth="1"/>
    <col min="9223" max="9223" width="10.85546875" style="574" customWidth="1"/>
    <col min="9224" max="9224" width="12.85546875" style="574" customWidth="1"/>
    <col min="9225" max="9236" width="13" style="574" customWidth="1"/>
    <col min="9237" max="9240" width="9.140625" style="574"/>
    <col min="9241" max="9241" width="11.140625" style="574" bestFit="1" customWidth="1"/>
    <col min="9242" max="9472" width="9.140625" style="574"/>
    <col min="9473" max="9473" width="5.5703125" style="574" customWidth="1"/>
    <col min="9474" max="9474" width="21.5703125" style="574" bestFit="1" customWidth="1"/>
    <col min="9475" max="9475" width="10.28515625" style="574" customWidth="1"/>
    <col min="9476" max="9476" width="8.85546875" style="574" customWidth="1"/>
    <col min="9477" max="9478" width="9.85546875" style="574" customWidth="1"/>
    <col min="9479" max="9479" width="10.85546875" style="574" customWidth="1"/>
    <col min="9480" max="9480" width="12.85546875" style="574" customWidth="1"/>
    <col min="9481" max="9492" width="13" style="574" customWidth="1"/>
    <col min="9493" max="9496" width="9.140625" style="574"/>
    <col min="9497" max="9497" width="11.140625" style="574" bestFit="1" customWidth="1"/>
    <col min="9498" max="9728" width="9.140625" style="574"/>
    <col min="9729" max="9729" width="5.5703125" style="574" customWidth="1"/>
    <col min="9730" max="9730" width="21.5703125" style="574" bestFit="1" customWidth="1"/>
    <col min="9731" max="9731" width="10.28515625" style="574" customWidth="1"/>
    <col min="9732" max="9732" width="8.85546875" style="574" customWidth="1"/>
    <col min="9733" max="9734" width="9.85546875" style="574" customWidth="1"/>
    <col min="9735" max="9735" width="10.85546875" style="574" customWidth="1"/>
    <col min="9736" max="9736" width="12.85546875" style="574" customWidth="1"/>
    <col min="9737" max="9748" width="13" style="574" customWidth="1"/>
    <col min="9749" max="9752" width="9.140625" style="574"/>
    <col min="9753" max="9753" width="11.140625" style="574" bestFit="1" customWidth="1"/>
    <col min="9754" max="9984" width="9.140625" style="574"/>
    <col min="9985" max="9985" width="5.5703125" style="574" customWidth="1"/>
    <col min="9986" max="9986" width="21.5703125" style="574" bestFit="1" customWidth="1"/>
    <col min="9987" max="9987" width="10.28515625" style="574" customWidth="1"/>
    <col min="9988" max="9988" width="8.85546875" style="574" customWidth="1"/>
    <col min="9989" max="9990" width="9.85546875" style="574" customWidth="1"/>
    <col min="9991" max="9991" width="10.85546875" style="574" customWidth="1"/>
    <col min="9992" max="9992" width="12.85546875" style="574" customWidth="1"/>
    <col min="9993" max="10004" width="13" style="574" customWidth="1"/>
    <col min="10005" max="10008" width="9.140625" style="574"/>
    <col min="10009" max="10009" width="11.140625" style="574" bestFit="1" customWidth="1"/>
    <col min="10010" max="10240" width="9.140625" style="574"/>
    <col min="10241" max="10241" width="5.5703125" style="574" customWidth="1"/>
    <col min="10242" max="10242" width="21.5703125" style="574" bestFit="1" customWidth="1"/>
    <col min="10243" max="10243" width="10.28515625" style="574" customWidth="1"/>
    <col min="10244" max="10244" width="8.85546875" style="574" customWidth="1"/>
    <col min="10245" max="10246" width="9.85546875" style="574" customWidth="1"/>
    <col min="10247" max="10247" width="10.85546875" style="574" customWidth="1"/>
    <col min="10248" max="10248" width="12.85546875" style="574" customWidth="1"/>
    <col min="10249" max="10260" width="13" style="574" customWidth="1"/>
    <col min="10261" max="10264" width="9.140625" style="574"/>
    <col min="10265" max="10265" width="11.140625" style="574" bestFit="1" customWidth="1"/>
    <col min="10266" max="10496" width="9.140625" style="574"/>
    <col min="10497" max="10497" width="5.5703125" style="574" customWidth="1"/>
    <col min="10498" max="10498" width="21.5703125" style="574" bestFit="1" customWidth="1"/>
    <col min="10499" max="10499" width="10.28515625" style="574" customWidth="1"/>
    <col min="10500" max="10500" width="8.85546875" style="574" customWidth="1"/>
    <col min="10501" max="10502" width="9.85546875" style="574" customWidth="1"/>
    <col min="10503" max="10503" width="10.85546875" style="574" customWidth="1"/>
    <col min="10504" max="10504" width="12.85546875" style="574" customWidth="1"/>
    <col min="10505" max="10516" width="13" style="574" customWidth="1"/>
    <col min="10517" max="10520" width="9.140625" style="574"/>
    <col min="10521" max="10521" width="11.140625" style="574" bestFit="1" customWidth="1"/>
    <col min="10522" max="10752" width="9.140625" style="574"/>
    <col min="10753" max="10753" width="5.5703125" style="574" customWidth="1"/>
    <col min="10754" max="10754" width="21.5703125" style="574" bestFit="1" customWidth="1"/>
    <col min="10755" max="10755" width="10.28515625" style="574" customWidth="1"/>
    <col min="10756" max="10756" width="8.85546875" style="574" customWidth="1"/>
    <col min="10757" max="10758" width="9.85546875" style="574" customWidth="1"/>
    <col min="10759" max="10759" width="10.85546875" style="574" customWidth="1"/>
    <col min="10760" max="10760" width="12.85546875" style="574" customWidth="1"/>
    <col min="10761" max="10772" width="13" style="574" customWidth="1"/>
    <col min="10773" max="10776" width="9.140625" style="574"/>
    <col min="10777" max="10777" width="11.140625" style="574" bestFit="1" customWidth="1"/>
    <col min="10778" max="11008" width="9.140625" style="574"/>
    <col min="11009" max="11009" width="5.5703125" style="574" customWidth="1"/>
    <col min="11010" max="11010" width="21.5703125" style="574" bestFit="1" customWidth="1"/>
    <col min="11011" max="11011" width="10.28515625" style="574" customWidth="1"/>
    <col min="11012" max="11012" width="8.85546875" style="574" customWidth="1"/>
    <col min="11013" max="11014" width="9.85546875" style="574" customWidth="1"/>
    <col min="11015" max="11015" width="10.85546875" style="574" customWidth="1"/>
    <col min="11016" max="11016" width="12.85546875" style="574" customWidth="1"/>
    <col min="11017" max="11028" width="13" style="574" customWidth="1"/>
    <col min="11029" max="11032" width="9.140625" style="574"/>
    <col min="11033" max="11033" width="11.140625" style="574" bestFit="1" customWidth="1"/>
    <col min="11034" max="11264" width="9.140625" style="574"/>
    <col min="11265" max="11265" width="5.5703125" style="574" customWidth="1"/>
    <col min="11266" max="11266" width="21.5703125" style="574" bestFit="1" customWidth="1"/>
    <col min="11267" max="11267" width="10.28515625" style="574" customWidth="1"/>
    <col min="11268" max="11268" width="8.85546875" style="574" customWidth="1"/>
    <col min="11269" max="11270" width="9.85546875" style="574" customWidth="1"/>
    <col min="11271" max="11271" width="10.85546875" style="574" customWidth="1"/>
    <col min="11272" max="11272" width="12.85546875" style="574" customWidth="1"/>
    <col min="11273" max="11284" width="13" style="574" customWidth="1"/>
    <col min="11285" max="11288" width="9.140625" style="574"/>
    <col min="11289" max="11289" width="11.140625" style="574" bestFit="1" customWidth="1"/>
    <col min="11290" max="11520" width="9.140625" style="574"/>
    <col min="11521" max="11521" width="5.5703125" style="574" customWidth="1"/>
    <col min="11522" max="11522" width="21.5703125" style="574" bestFit="1" customWidth="1"/>
    <col min="11523" max="11523" width="10.28515625" style="574" customWidth="1"/>
    <col min="11524" max="11524" width="8.85546875" style="574" customWidth="1"/>
    <col min="11525" max="11526" width="9.85546875" style="574" customWidth="1"/>
    <col min="11527" max="11527" width="10.85546875" style="574" customWidth="1"/>
    <col min="11528" max="11528" width="12.85546875" style="574" customWidth="1"/>
    <col min="11529" max="11540" width="13" style="574" customWidth="1"/>
    <col min="11541" max="11544" width="9.140625" style="574"/>
    <col min="11545" max="11545" width="11.140625" style="574" bestFit="1" customWidth="1"/>
    <col min="11546" max="11776" width="9.140625" style="574"/>
    <col min="11777" max="11777" width="5.5703125" style="574" customWidth="1"/>
    <col min="11778" max="11778" width="21.5703125" style="574" bestFit="1" customWidth="1"/>
    <col min="11779" max="11779" width="10.28515625" style="574" customWidth="1"/>
    <col min="11780" max="11780" width="8.85546875" style="574" customWidth="1"/>
    <col min="11781" max="11782" width="9.85546875" style="574" customWidth="1"/>
    <col min="11783" max="11783" width="10.85546875" style="574" customWidth="1"/>
    <col min="11784" max="11784" width="12.85546875" style="574" customWidth="1"/>
    <col min="11785" max="11796" width="13" style="574" customWidth="1"/>
    <col min="11797" max="11800" width="9.140625" style="574"/>
    <col min="11801" max="11801" width="11.140625" style="574" bestFit="1" customWidth="1"/>
    <col min="11802" max="12032" width="9.140625" style="574"/>
    <col min="12033" max="12033" width="5.5703125" style="574" customWidth="1"/>
    <col min="12034" max="12034" width="21.5703125" style="574" bestFit="1" customWidth="1"/>
    <col min="12035" max="12035" width="10.28515625" style="574" customWidth="1"/>
    <col min="12036" max="12036" width="8.85546875" style="574" customWidth="1"/>
    <col min="12037" max="12038" width="9.85546875" style="574" customWidth="1"/>
    <col min="12039" max="12039" width="10.85546875" style="574" customWidth="1"/>
    <col min="12040" max="12040" width="12.85546875" style="574" customWidth="1"/>
    <col min="12041" max="12052" width="13" style="574" customWidth="1"/>
    <col min="12053" max="12056" width="9.140625" style="574"/>
    <col min="12057" max="12057" width="11.140625" style="574" bestFit="1" customWidth="1"/>
    <col min="12058" max="12288" width="9.140625" style="574"/>
    <col min="12289" max="12289" width="5.5703125" style="574" customWidth="1"/>
    <col min="12290" max="12290" width="21.5703125" style="574" bestFit="1" customWidth="1"/>
    <col min="12291" max="12291" width="10.28515625" style="574" customWidth="1"/>
    <col min="12292" max="12292" width="8.85546875" style="574" customWidth="1"/>
    <col min="12293" max="12294" width="9.85546875" style="574" customWidth="1"/>
    <col min="12295" max="12295" width="10.85546875" style="574" customWidth="1"/>
    <col min="12296" max="12296" width="12.85546875" style="574" customWidth="1"/>
    <col min="12297" max="12308" width="13" style="574" customWidth="1"/>
    <col min="12309" max="12312" width="9.140625" style="574"/>
    <col min="12313" max="12313" width="11.140625" style="574" bestFit="1" customWidth="1"/>
    <col min="12314" max="12544" width="9.140625" style="574"/>
    <col min="12545" max="12545" width="5.5703125" style="574" customWidth="1"/>
    <col min="12546" max="12546" width="21.5703125" style="574" bestFit="1" customWidth="1"/>
    <col min="12547" max="12547" width="10.28515625" style="574" customWidth="1"/>
    <col min="12548" max="12548" width="8.85546875" style="574" customWidth="1"/>
    <col min="12549" max="12550" width="9.85546875" style="574" customWidth="1"/>
    <col min="12551" max="12551" width="10.85546875" style="574" customWidth="1"/>
    <col min="12552" max="12552" width="12.85546875" style="574" customWidth="1"/>
    <col min="12553" max="12564" width="13" style="574" customWidth="1"/>
    <col min="12565" max="12568" width="9.140625" style="574"/>
    <col min="12569" max="12569" width="11.140625" style="574" bestFit="1" customWidth="1"/>
    <col min="12570" max="12800" width="9.140625" style="574"/>
    <col min="12801" max="12801" width="5.5703125" style="574" customWidth="1"/>
    <col min="12802" max="12802" width="21.5703125" style="574" bestFit="1" customWidth="1"/>
    <col min="12803" max="12803" width="10.28515625" style="574" customWidth="1"/>
    <col min="12804" max="12804" width="8.85546875" style="574" customWidth="1"/>
    <col min="12805" max="12806" width="9.85546875" style="574" customWidth="1"/>
    <col min="12807" max="12807" width="10.85546875" style="574" customWidth="1"/>
    <col min="12808" max="12808" width="12.85546875" style="574" customWidth="1"/>
    <col min="12809" max="12820" width="13" style="574" customWidth="1"/>
    <col min="12821" max="12824" width="9.140625" style="574"/>
    <col min="12825" max="12825" width="11.140625" style="574" bestFit="1" customWidth="1"/>
    <col min="12826" max="13056" width="9.140625" style="574"/>
    <col min="13057" max="13057" width="5.5703125" style="574" customWidth="1"/>
    <col min="13058" max="13058" width="21.5703125" style="574" bestFit="1" customWidth="1"/>
    <col min="13059" max="13059" width="10.28515625" style="574" customWidth="1"/>
    <col min="13060" max="13060" width="8.85546875" style="574" customWidth="1"/>
    <col min="13061" max="13062" width="9.85546875" style="574" customWidth="1"/>
    <col min="13063" max="13063" width="10.85546875" style="574" customWidth="1"/>
    <col min="13064" max="13064" width="12.85546875" style="574" customWidth="1"/>
    <col min="13065" max="13076" width="13" style="574" customWidth="1"/>
    <col min="13077" max="13080" width="9.140625" style="574"/>
    <col min="13081" max="13081" width="11.140625" style="574" bestFit="1" customWidth="1"/>
    <col min="13082" max="13312" width="9.140625" style="574"/>
    <col min="13313" max="13313" width="5.5703125" style="574" customWidth="1"/>
    <col min="13314" max="13314" width="21.5703125" style="574" bestFit="1" customWidth="1"/>
    <col min="13315" max="13315" width="10.28515625" style="574" customWidth="1"/>
    <col min="13316" max="13316" width="8.85546875" style="574" customWidth="1"/>
    <col min="13317" max="13318" width="9.85546875" style="574" customWidth="1"/>
    <col min="13319" max="13319" width="10.85546875" style="574" customWidth="1"/>
    <col min="13320" max="13320" width="12.85546875" style="574" customWidth="1"/>
    <col min="13321" max="13332" width="13" style="574" customWidth="1"/>
    <col min="13333" max="13336" width="9.140625" style="574"/>
    <col min="13337" max="13337" width="11.140625" style="574" bestFit="1" customWidth="1"/>
    <col min="13338" max="13568" width="9.140625" style="574"/>
    <col min="13569" max="13569" width="5.5703125" style="574" customWidth="1"/>
    <col min="13570" max="13570" width="21.5703125" style="574" bestFit="1" customWidth="1"/>
    <col min="13571" max="13571" width="10.28515625" style="574" customWidth="1"/>
    <col min="13572" max="13572" width="8.85546875" style="574" customWidth="1"/>
    <col min="13573" max="13574" width="9.85546875" style="574" customWidth="1"/>
    <col min="13575" max="13575" width="10.85546875" style="574" customWidth="1"/>
    <col min="13576" max="13576" width="12.85546875" style="574" customWidth="1"/>
    <col min="13577" max="13588" width="13" style="574" customWidth="1"/>
    <col min="13589" max="13592" width="9.140625" style="574"/>
    <col min="13593" max="13593" width="11.140625" style="574" bestFit="1" customWidth="1"/>
    <col min="13594" max="13824" width="9.140625" style="574"/>
    <col min="13825" max="13825" width="5.5703125" style="574" customWidth="1"/>
    <col min="13826" max="13826" width="21.5703125" style="574" bestFit="1" customWidth="1"/>
    <col min="13827" max="13827" width="10.28515625" style="574" customWidth="1"/>
    <col min="13828" max="13828" width="8.85546875" style="574" customWidth="1"/>
    <col min="13829" max="13830" width="9.85546875" style="574" customWidth="1"/>
    <col min="13831" max="13831" width="10.85546875" style="574" customWidth="1"/>
    <col min="13832" max="13832" width="12.85546875" style="574" customWidth="1"/>
    <col min="13833" max="13844" width="13" style="574" customWidth="1"/>
    <col min="13845" max="13848" width="9.140625" style="574"/>
    <col min="13849" max="13849" width="11.140625" style="574" bestFit="1" customWidth="1"/>
    <col min="13850" max="14080" width="9.140625" style="574"/>
    <col min="14081" max="14081" width="5.5703125" style="574" customWidth="1"/>
    <col min="14082" max="14082" width="21.5703125" style="574" bestFit="1" customWidth="1"/>
    <col min="14083" max="14083" width="10.28515625" style="574" customWidth="1"/>
    <col min="14084" max="14084" width="8.85546875" style="574" customWidth="1"/>
    <col min="14085" max="14086" width="9.85546875" style="574" customWidth="1"/>
    <col min="14087" max="14087" width="10.85546875" style="574" customWidth="1"/>
    <col min="14088" max="14088" width="12.85546875" style="574" customWidth="1"/>
    <col min="14089" max="14100" width="13" style="574" customWidth="1"/>
    <col min="14101" max="14104" width="9.140625" style="574"/>
    <col min="14105" max="14105" width="11.140625" style="574" bestFit="1" customWidth="1"/>
    <col min="14106" max="14336" width="9.140625" style="574"/>
    <col min="14337" max="14337" width="5.5703125" style="574" customWidth="1"/>
    <col min="14338" max="14338" width="21.5703125" style="574" bestFit="1" customWidth="1"/>
    <col min="14339" max="14339" width="10.28515625" style="574" customWidth="1"/>
    <col min="14340" max="14340" width="8.85546875" style="574" customWidth="1"/>
    <col min="14341" max="14342" width="9.85546875" style="574" customWidth="1"/>
    <col min="14343" max="14343" width="10.85546875" style="574" customWidth="1"/>
    <col min="14344" max="14344" width="12.85546875" style="574" customWidth="1"/>
    <col min="14345" max="14356" width="13" style="574" customWidth="1"/>
    <col min="14357" max="14360" width="9.140625" style="574"/>
    <col min="14361" max="14361" width="11.140625" style="574" bestFit="1" customWidth="1"/>
    <col min="14362" max="14592" width="9.140625" style="574"/>
    <col min="14593" max="14593" width="5.5703125" style="574" customWidth="1"/>
    <col min="14594" max="14594" width="21.5703125" style="574" bestFit="1" customWidth="1"/>
    <col min="14595" max="14595" width="10.28515625" style="574" customWidth="1"/>
    <col min="14596" max="14596" width="8.85546875" style="574" customWidth="1"/>
    <col min="14597" max="14598" width="9.85546875" style="574" customWidth="1"/>
    <col min="14599" max="14599" width="10.85546875" style="574" customWidth="1"/>
    <col min="14600" max="14600" width="12.85546875" style="574" customWidth="1"/>
    <col min="14601" max="14612" width="13" style="574" customWidth="1"/>
    <col min="14613" max="14616" width="9.140625" style="574"/>
    <col min="14617" max="14617" width="11.140625" style="574" bestFit="1" customWidth="1"/>
    <col min="14618" max="14848" width="9.140625" style="574"/>
    <col min="14849" max="14849" width="5.5703125" style="574" customWidth="1"/>
    <col min="14850" max="14850" width="21.5703125" style="574" bestFit="1" customWidth="1"/>
    <col min="14851" max="14851" width="10.28515625" style="574" customWidth="1"/>
    <col min="14852" max="14852" width="8.85546875" style="574" customWidth="1"/>
    <col min="14853" max="14854" width="9.85546875" style="574" customWidth="1"/>
    <col min="14855" max="14855" width="10.85546875" style="574" customWidth="1"/>
    <col min="14856" max="14856" width="12.85546875" style="574" customWidth="1"/>
    <col min="14857" max="14868" width="13" style="574" customWidth="1"/>
    <col min="14869" max="14872" width="9.140625" style="574"/>
    <col min="14873" max="14873" width="11.140625" style="574" bestFit="1" customWidth="1"/>
    <col min="14874" max="15104" width="9.140625" style="574"/>
    <col min="15105" max="15105" width="5.5703125" style="574" customWidth="1"/>
    <col min="15106" max="15106" width="21.5703125" style="574" bestFit="1" customWidth="1"/>
    <col min="15107" max="15107" width="10.28515625" style="574" customWidth="1"/>
    <col min="15108" max="15108" width="8.85546875" style="574" customWidth="1"/>
    <col min="15109" max="15110" width="9.85546875" style="574" customWidth="1"/>
    <col min="15111" max="15111" width="10.85546875" style="574" customWidth="1"/>
    <col min="15112" max="15112" width="12.85546875" style="574" customWidth="1"/>
    <col min="15113" max="15124" width="13" style="574" customWidth="1"/>
    <col min="15125" max="15128" width="9.140625" style="574"/>
    <col min="15129" max="15129" width="11.140625" style="574" bestFit="1" customWidth="1"/>
    <col min="15130" max="15360" width="9.140625" style="574"/>
    <col min="15361" max="15361" width="5.5703125" style="574" customWidth="1"/>
    <col min="15362" max="15362" width="21.5703125" style="574" bestFit="1" customWidth="1"/>
    <col min="15363" max="15363" width="10.28515625" style="574" customWidth="1"/>
    <col min="15364" max="15364" width="8.85546875" style="574" customWidth="1"/>
    <col min="15365" max="15366" width="9.85546875" style="574" customWidth="1"/>
    <col min="15367" max="15367" width="10.85546875" style="574" customWidth="1"/>
    <col min="15368" max="15368" width="12.85546875" style="574" customWidth="1"/>
    <col min="15369" max="15380" width="13" style="574" customWidth="1"/>
    <col min="15381" max="15384" width="9.140625" style="574"/>
    <col min="15385" max="15385" width="11.140625" style="574" bestFit="1" customWidth="1"/>
    <col min="15386" max="15616" width="9.140625" style="574"/>
    <col min="15617" max="15617" width="5.5703125" style="574" customWidth="1"/>
    <col min="15618" max="15618" width="21.5703125" style="574" bestFit="1" customWidth="1"/>
    <col min="15619" max="15619" width="10.28515625" style="574" customWidth="1"/>
    <col min="15620" max="15620" width="8.85546875" style="574" customWidth="1"/>
    <col min="15621" max="15622" width="9.85546875" style="574" customWidth="1"/>
    <col min="15623" max="15623" width="10.85546875" style="574" customWidth="1"/>
    <col min="15624" max="15624" width="12.85546875" style="574" customWidth="1"/>
    <col min="15625" max="15636" width="13" style="574" customWidth="1"/>
    <col min="15637" max="15640" width="9.140625" style="574"/>
    <col min="15641" max="15641" width="11.140625" style="574" bestFit="1" customWidth="1"/>
    <col min="15642" max="15872" width="9.140625" style="574"/>
    <col min="15873" max="15873" width="5.5703125" style="574" customWidth="1"/>
    <col min="15874" max="15874" width="21.5703125" style="574" bestFit="1" customWidth="1"/>
    <col min="15875" max="15875" width="10.28515625" style="574" customWidth="1"/>
    <col min="15876" max="15876" width="8.85546875" style="574" customWidth="1"/>
    <col min="15877" max="15878" width="9.85546875" style="574" customWidth="1"/>
    <col min="15879" max="15879" width="10.85546875" style="574" customWidth="1"/>
    <col min="15880" max="15880" width="12.85546875" style="574" customWidth="1"/>
    <col min="15881" max="15892" width="13" style="574" customWidth="1"/>
    <col min="15893" max="15896" width="9.140625" style="574"/>
    <col min="15897" max="15897" width="11.140625" style="574" bestFit="1" customWidth="1"/>
    <col min="15898" max="16128" width="9.140625" style="574"/>
    <col min="16129" max="16129" width="5.5703125" style="574" customWidth="1"/>
    <col min="16130" max="16130" width="21.5703125" style="574" bestFit="1" customWidth="1"/>
    <col min="16131" max="16131" width="10.28515625" style="574" customWidth="1"/>
    <col min="16132" max="16132" width="8.85546875" style="574" customWidth="1"/>
    <col min="16133" max="16134" width="9.85546875" style="574" customWidth="1"/>
    <col min="16135" max="16135" width="10.85546875" style="574" customWidth="1"/>
    <col min="16136" max="16136" width="12.85546875" style="574" customWidth="1"/>
    <col min="16137" max="16148" width="13" style="574" customWidth="1"/>
    <col min="16149" max="16152" width="9.140625" style="574"/>
    <col min="16153" max="16153" width="11.140625" style="574" bestFit="1" customWidth="1"/>
    <col min="16154" max="16384" width="9.140625" style="574"/>
  </cols>
  <sheetData>
    <row r="1" spans="1:20" ht="15" x14ac:dyDescent="0.2">
      <c r="G1" s="1123"/>
      <c r="H1" s="1123"/>
      <c r="I1" s="1123"/>
      <c r="Q1" s="1124" t="s">
        <v>529</v>
      </c>
      <c r="R1" s="1124"/>
      <c r="S1" s="1124"/>
      <c r="T1" s="1124"/>
    </row>
    <row r="2" spans="1:20" ht="15.75" x14ac:dyDescent="0.25">
      <c r="A2" s="1125" t="s">
        <v>0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125"/>
    </row>
    <row r="3" spans="1:20" ht="18" x14ac:dyDescent="0.25">
      <c r="A3" s="1126" t="s">
        <v>740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</row>
    <row r="4" spans="1:20" x14ac:dyDescent="0.2">
      <c r="A4" s="1127" t="s">
        <v>748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</row>
    <row r="5" spans="1:20" s="575" customFormat="1" ht="15" x14ac:dyDescent="0.2">
      <c r="A5" s="1127"/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</row>
    <row r="6" spans="1:20" x14ac:dyDescent="0.2">
      <c r="A6" s="1122"/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</row>
    <row r="7" spans="1:20" ht="18" x14ac:dyDescent="0.25">
      <c r="A7" s="1121" t="s">
        <v>920</v>
      </c>
      <c r="B7" s="1121"/>
      <c r="C7" s="1121"/>
      <c r="H7" s="576"/>
      <c r="L7" s="1113"/>
      <c r="M7" s="1113"/>
      <c r="N7" s="1113"/>
      <c r="O7" s="1113"/>
      <c r="P7" s="1113"/>
      <c r="Q7" s="1113"/>
      <c r="R7" s="1113"/>
      <c r="S7" s="1113"/>
      <c r="T7" s="1113"/>
    </row>
    <row r="8" spans="1:20" x14ac:dyDescent="0.2">
      <c r="A8" s="1114" t="s">
        <v>2</v>
      </c>
      <c r="B8" s="1114" t="s">
        <v>3</v>
      </c>
      <c r="C8" s="1115" t="s">
        <v>483</v>
      </c>
      <c r="D8" s="1116"/>
      <c r="E8" s="1116"/>
      <c r="F8" s="1116"/>
      <c r="G8" s="1117"/>
      <c r="H8" s="1118" t="s">
        <v>85</v>
      </c>
      <c r="I8" s="1115" t="s">
        <v>86</v>
      </c>
      <c r="J8" s="1116"/>
      <c r="K8" s="1116"/>
      <c r="L8" s="1117"/>
      <c r="M8" s="1114" t="s">
        <v>646</v>
      </c>
      <c r="N8" s="1114"/>
      <c r="O8" s="1114"/>
      <c r="P8" s="1114"/>
      <c r="Q8" s="1114"/>
      <c r="R8" s="1114"/>
      <c r="S8" s="1120" t="s">
        <v>702</v>
      </c>
      <c r="T8" s="1120"/>
    </row>
    <row r="9" spans="1:20" ht="38.25" x14ac:dyDescent="0.2">
      <c r="A9" s="1114"/>
      <c r="B9" s="1114"/>
      <c r="C9" s="577" t="s">
        <v>5</v>
      </c>
      <c r="D9" s="577" t="s">
        <v>6</v>
      </c>
      <c r="E9" s="577" t="s">
        <v>353</v>
      </c>
      <c r="F9" s="578" t="s">
        <v>102</v>
      </c>
      <c r="G9" s="578" t="s">
        <v>222</v>
      </c>
      <c r="H9" s="1119"/>
      <c r="I9" s="577" t="s">
        <v>91</v>
      </c>
      <c r="J9" s="577" t="s">
        <v>21</v>
      </c>
      <c r="K9" s="577" t="s">
        <v>42</v>
      </c>
      <c r="L9" s="577" t="s">
        <v>681</v>
      </c>
      <c r="M9" s="577" t="s">
        <v>18</v>
      </c>
      <c r="N9" s="577" t="s">
        <v>943</v>
      </c>
      <c r="O9" s="577" t="s">
        <v>944</v>
      </c>
      <c r="P9" s="577" t="s">
        <v>649</v>
      </c>
      <c r="Q9" s="577" t="s">
        <v>650</v>
      </c>
      <c r="R9" s="577" t="s">
        <v>651</v>
      </c>
      <c r="S9" s="577" t="s">
        <v>708</v>
      </c>
      <c r="T9" s="577" t="s">
        <v>706</v>
      </c>
    </row>
    <row r="10" spans="1:20" s="580" customFormat="1" x14ac:dyDescent="0.2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79">
        <v>6</v>
      </c>
      <c r="G10" s="579">
        <v>7</v>
      </c>
      <c r="H10" s="579">
        <v>8</v>
      </c>
      <c r="I10" s="579">
        <v>9</v>
      </c>
      <c r="J10" s="579">
        <v>10</v>
      </c>
      <c r="K10" s="579">
        <v>11</v>
      </c>
      <c r="L10" s="579">
        <v>12</v>
      </c>
      <c r="M10" s="579">
        <v>13</v>
      </c>
      <c r="N10" s="579">
        <v>14</v>
      </c>
      <c r="O10" s="579">
        <v>15</v>
      </c>
      <c r="P10" s="579">
        <v>16</v>
      </c>
      <c r="Q10" s="579">
        <v>17</v>
      </c>
      <c r="R10" s="579">
        <v>18</v>
      </c>
      <c r="S10" s="579">
        <v>19</v>
      </c>
      <c r="T10" s="579">
        <v>20</v>
      </c>
    </row>
    <row r="11" spans="1:20" s="586" customFormat="1" ht="15.75" x14ac:dyDescent="0.25">
      <c r="A11" s="581">
        <v>1</v>
      </c>
      <c r="B11" s="582" t="s">
        <v>896</v>
      </c>
      <c r="C11" s="583">
        <v>102431</v>
      </c>
      <c r="D11" s="583">
        <v>26098</v>
      </c>
      <c r="E11" s="583">
        <v>0</v>
      </c>
      <c r="F11" s="583">
        <v>144</v>
      </c>
      <c r="G11" s="583">
        <f>SUM(C11:F11)</f>
        <v>128673</v>
      </c>
      <c r="H11" s="582">
        <v>253</v>
      </c>
      <c r="I11" s="584">
        <f>J11</f>
        <v>3255.4268999999999</v>
      </c>
      <c r="J11" s="584">
        <f>G11*H11*0.0001</f>
        <v>3255.4268999999999</v>
      </c>
      <c r="K11" s="582"/>
      <c r="L11" s="582"/>
      <c r="M11" s="584">
        <f>N11+O11</f>
        <v>651.0853800000001</v>
      </c>
      <c r="N11" s="584">
        <f>G11*H11*0.00001</f>
        <v>325.54269000000005</v>
      </c>
      <c r="O11" s="584">
        <f>G11*H11*0.00001</f>
        <v>325.54269000000005</v>
      </c>
      <c r="P11" s="582"/>
      <c r="Q11" s="582"/>
      <c r="R11" s="582"/>
      <c r="S11" s="585">
        <v>117.5</v>
      </c>
      <c r="T11" s="584">
        <f>J11*1175/100000</f>
        <v>38.251266074999997</v>
      </c>
    </row>
    <row r="12" spans="1:20" s="586" customFormat="1" ht="15.75" x14ac:dyDescent="0.25">
      <c r="A12" s="581">
        <v>2</v>
      </c>
      <c r="B12" s="582" t="s">
        <v>897</v>
      </c>
      <c r="C12" s="583">
        <v>30086</v>
      </c>
      <c r="D12" s="583">
        <v>14393</v>
      </c>
      <c r="E12" s="583">
        <v>0</v>
      </c>
      <c r="F12" s="583">
        <v>0</v>
      </c>
      <c r="G12" s="583">
        <f t="shared" ref="G12:G34" si="0">SUM(C12:F12)</f>
        <v>44479</v>
      </c>
      <c r="H12" s="582">
        <v>253</v>
      </c>
      <c r="I12" s="584">
        <f t="shared" ref="I12:I34" si="1">J12</f>
        <v>1125.3187</v>
      </c>
      <c r="J12" s="584">
        <f t="shared" ref="J12:J34" si="2">G12*H12*0.0001</f>
        <v>1125.3187</v>
      </c>
      <c r="K12" s="582"/>
      <c r="L12" s="582"/>
      <c r="M12" s="584">
        <f t="shared" ref="M12:M34" si="3">N12+O12</f>
        <v>225.06374000000002</v>
      </c>
      <c r="N12" s="584">
        <f t="shared" ref="N12:N34" si="4">G12*H12*0.00001</f>
        <v>112.53187000000001</v>
      </c>
      <c r="O12" s="584">
        <f t="shared" ref="O12:O33" si="5">G12*H12*0.00001</f>
        <v>112.53187000000001</v>
      </c>
      <c r="P12" s="582"/>
      <c r="Q12" s="582"/>
      <c r="R12" s="582"/>
      <c r="S12" s="585">
        <v>117.5</v>
      </c>
      <c r="T12" s="584">
        <f t="shared" ref="T12:T34" si="6">J12*1175/100000</f>
        <v>13.222494725000001</v>
      </c>
    </row>
    <row r="13" spans="1:20" s="586" customFormat="1" ht="15.75" x14ac:dyDescent="0.25">
      <c r="A13" s="581">
        <v>3</v>
      </c>
      <c r="B13" s="582" t="s">
        <v>898</v>
      </c>
      <c r="C13" s="583">
        <v>33562</v>
      </c>
      <c r="D13" s="583">
        <v>2374</v>
      </c>
      <c r="E13" s="583">
        <v>0</v>
      </c>
      <c r="F13" s="583">
        <v>0</v>
      </c>
      <c r="G13" s="583">
        <f t="shared" si="0"/>
        <v>35936</v>
      </c>
      <c r="H13" s="582">
        <v>253</v>
      </c>
      <c r="I13" s="584">
        <f t="shared" si="1"/>
        <v>909.18080000000009</v>
      </c>
      <c r="J13" s="584">
        <f t="shared" si="2"/>
        <v>909.18080000000009</v>
      </c>
      <c r="K13" s="582"/>
      <c r="L13" s="582"/>
      <c r="M13" s="584">
        <f t="shared" si="3"/>
        <v>181.83616000000001</v>
      </c>
      <c r="N13" s="584">
        <f t="shared" si="4"/>
        <v>90.918080000000003</v>
      </c>
      <c r="O13" s="584">
        <f t="shared" si="5"/>
        <v>90.918080000000003</v>
      </c>
      <c r="P13" s="582"/>
      <c r="Q13" s="582"/>
      <c r="R13" s="582"/>
      <c r="S13" s="585">
        <v>117.5</v>
      </c>
      <c r="T13" s="584">
        <f t="shared" si="6"/>
        <v>10.682874400000001</v>
      </c>
    </row>
    <row r="14" spans="1:20" s="586" customFormat="1" ht="15.75" x14ac:dyDescent="0.25">
      <c r="A14" s="581">
        <v>4</v>
      </c>
      <c r="B14" s="582" t="s">
        <v>899</v>
      </c>
      <c r="C14" s="583">
        <v>65573</v>
      </c>
      <c r="D14" s="583">
        <v>25581</v>
      </c>
      <c r="E14" s="583">
        <v>0</v>
      </c>
      <c r="F14" s="583">
        <v>132</v>
      </c>
      <c r="G14" s="583">
        <f t="shared" si="0"/>
        <v>91286</v>
      </c>
      <c r="H14" s="582">
        <v>253</v>
      </c>
      <c r="I14" s="584">
        <f t="shared" si="1"/>
        <v>2309.5358000000001</v>
      </c>
      <c r="J14" s="584">
        <f t="shared" si="2"/>
        <v>2309.5358000000001</v>
      </c>
      <c r="K14" s="582"/>
      <c r="L14" s="582"/>
      <c r="M14" s="584">
        <f t="shared" si="3"/>
        <v>461.90716000000003</v>
      </c>
      <c r="N14" s="584">
        <f t="shared" si="4"/>
        <v>230.95358000000002</v>
      </c>
      <c r="O14" s="584">
        <f t="shared" si="5"/>
        <v>230.95358000000002</v>
      </c>
      <c r="P14" s="582"/>
      <c r="Q14" s="582"/>
      <c r="R14" s="582"/>
      <c r="S14" s="585">
        <v>117.5</v>
      </c>
      <c r="T14" s="584">
        <f t="shared" si="6"/>
        <v>27.137045650000001</v>
      </c>
    </row>
    <row r="15" spans="1:20" s="586" customFormat="1" ht="15.75" x14ac:dyDescent="0.25">
      <c r="A15" s="581">
        <v>5</v>
      </c>
      <c r="B15" s="582" t="s">
        <v>900</v>
      </c>
      <c r="C15" s="583">
        <v>25345</v>
      </c>
      <c r="D15" s="583">
        <v>26976</v>
      </c>
      <c r="E15" s="583">
        <v>0</v>
      </c>
      <c r="F15" s="583">
        <v>0</v>
      </c>
      <c r="G15" s="583">
        <f t="shared" si="0"/>
        <v>52321</v>
      </c>
      <c r="H15" s="582">
        <v>253</v>
      </c>
      <c r="I15" s="584">
        <f t="shared" si="1"/>
        <v>1323.7213000000002</v>
      </c>
      <c r="J15" s="584">
        <f t="shared" si="2"/>
        <v>1323.7213000000002</v>
      </c>
      <c r="K15" s="582"/>
      <c r="L15" s="582"/>
      <c r="M15" s="584">
        <f t="shared" si="3"/>
        <v>264.74426</v>
      </c>
      <c r="N15" s="584">
        <f t="shared" si="4"/>
        <v>132.37213</v>
      </c>
      <c r="O15" s="584">
        <f t="shared" si="5"/>
        <v>132.37213</v>
      </c>
      <c r="P15" s="582"/>
      <c r="Q15" s="582"/>
      <c r="R15" s="582"/>
      <c r="S15" s="585">
        <v>117.5</v>
      </c>
      <c r="T15" s="584">
        <f t="shared" si="6"/>
        <v>15.553725275000001</v>
      </c>
    </row>
    <row r="16" spans="1:20" s="586" customFormat="1" ht="15.75" x14ac:dyDescent="0.25">
      <c r="A16" s="581">
        <v>6</v>
      </c>
      <c r="B16" s="582" t="s">
        <v>901</v>
      </c>
      <c r="C16" s="583">
        <v>77429</v>
      </c>
      <c r="D16" s="583">
        <v>11348</v>
      </c>
      <c r="E16" s="583">
        <v>0</v>
      </c>
      <c r="F16" s="583">
        <v>47</v>
      </c>
      <c r="G16" s="583">
        <f t="shared" si="0"/>
        <v>88824</v>
      </c>
      <c r="H16" s="582">
        <v>253</v>
      </c>
      <c r="I16" s="584">
        <f t="shared" si="1"/>
        <v>2247.2472000000002</v>
      </c>
      <c r="J16" s="584">
        <f t="shared" si="2"/>
        <v>2247.2472000000002</v>
      </c>
      <c r="K16" s="582"/>
      <c r="L16" s="582"/>
      <c r="M16" s="584">
        <f t="shared" si="3"/>
        <v>449.44944000000004</v>
      </c>
      <c r="N16" s="584">
        <f t="shared" si="4"/>
        <v>224.72472000000002</v>
      </c>
      <c r="O16" s="584">
        <f t="shared" si="5"/>
        <v>224.72472000000002</v>
      </c>
      <c r="P16" s="582"/>
      <c r="Q16" s="582"/>
      <c r="R16" s="582"/>
      <c r="S16" s="585">
        <v>117.5</v>
      </c>
      <c r="T16" s="584">
        <f t="shared" si="6"/>
        <v>26.405154600000003</v>
      </c>
    </row>
    <row r="17" spans="1:20" s="586" customFormat="1" ht="15.75" x14ac:dyDescent="0.25">
      <c r="A17" s="581">
        <v>7</v>
      </c>
      <c r="B17" s="582" t="s">
        <v>902</v>
      </c>
      <c r="C17" s="583">
        <v>63003</v>
      </c>
      <c r="D17" s="583">
        <v>0</v>
      </c>
      <c r="E17" s="583">
        <v>0</v>
      </c>
      <c r="F17" s="583">
        <v>0</v>
      </c>
      <c r="G17" s="583">
        <f t="shared" si="0"/>
        <v>63003</v>
      </c>
      <c r="H17" s="582">
        <v>253</v>
      </c>
      <c r="I17" s="584">
        <f t="shared" si="1"/>
        <v>1593.9759000000001</v>
      </c>
      <c r="J17" s="584">
        <f t="shared" si="2"/>
        <v>1593.9759000000001</v>
      </c>
      <c r="K17" s="582"/>
      <c r="L17" s="582"/>
      <c r="M17" s="584">
        <f t="shared" si="3"/>
        <v>318.79518000000002</v>
      </c>
      <c r="N17" s="584">
        <f t="shared" si="4"/>
        <v>159.39759000000001</v>
      </c>
      <c r="O17" s="584">
        <f t="shared" si="5"/>
        <v>159.39759000000001</v>
      </c>
      <c r="P17" s="582"/>
      <c r="Q17" s="582"/>
      <c r="R17" s="582"/>
      <c r="S17" s="585">
        <v>117.5</v>
      </c>
      <c r="T17" s="584">
        <f t="shared" si="6"/>
        <v>18.729216825000002</v>
      </c>
    </row>
    <row r="18" spans="1:20" s="586" customFormat="1" ht="15.75" x14ac:dyDescent="0.25">
      <c r="A18" s="581">
        <v>8</v>
      </c>
      <c r="B18" s="582" t="s">
        <v>903</v>
      </c>
      <c r="C18" s="583">
        <v>135483</v>
      </c>
      <c r="D18" s="583">
        <v>8458</v>
      </c>
      <c r="E18" s="583">
        <v>0</v>
      </c>
      <c r="F18" s="583">
        <v>44</v>
      </c>
      <c r="G18" s="583">
        <f t="shared" si="0"/>
        <v>143985</v>
      </c>
      <c r="H18" s="582">
        <v>253</v>
      </c>
      <c r="I18" s="584">
        <f t="shared" si="1"/>
        <v>3642.8205000000003</v>
      </c>
      <c r="J18" s="584">
        <f t="shared" si="2"/>
        <v>3642.8205000000003</v>
      </c>
      <c r="K18" s="582"/>
      <c r="L18" s="582"/>
      <c r="M18" s="584">
        <f t="shared" si="3"/>
        <v>728.56410000000005</v>
      </c>
      <c r="N18" s="584">
        <f t="shared" si="4"/>
        <v>364.28205000000003</v>
      </c>
      <c r="O18" s="584">
        <f t="shared" si="5"/>
        <v>364.28205000000003</v>
      </c>
      <c r="P18" s="582"/>
      <c r="Q18" s="582"/>
      <c r="R18" s="582"/>
      <c r="S18" s="585">
        <v>117.5</v>
      </c>
      <c r="T18" s="584">
        <f t="shared" si="6"/>
        <v>42.803140875000004</v>
      </c>
    </row>
    <row r="19" spans="1:20" s="586" customFormat="1" ht="15.75" x14ac:dyDescent="0.25">
      <c r="A19" s="581">
        <v>9</v>
      </c>
      <c r="B19" s="582" t="s">
        <v>904</v>
      </c>
      <c r="C19" s="583">
        <v>188458</v>
      </c>
      <c r="D19" s="583">
        <v>981</v>
      </c>
      <c r="E19" s="583">
        <v>0</v>
      </c>
      <c r="F19" s="583">
        <v>508</v>
      </c>
      <c r="G19" s="583">
        <f t="shared" si="0"/>
        <v>189947</v>
      </c>
      <c r="H19" s="582">
        <v>253</v>
      </c>
      <c r="I19" s="584">
        <f t="shared" si="1"/>
        <v>4805.6590999999999</v>
      </c>
      <c r="J19" s="584">
        <f t="shared" si="2"/>
        <v>4805.6590999999999</v>
      </c>
      <c r="K19" s="582"/>
      <c r="L19" s="582"/>
      <c r="M19" s="584">
        <f t="shared" si="3"/>
        <v>961.13182000000006</v>
      </c>
      <c r="N19" s="584">
        <f t="shared" si="4"/>
        <v>480.56591000000003</v>
      </c>
      <c r="O19" s="584">
        <f t="shared" si="5"/>
        <v>480.56591000000003</v>
      </c>
      <c r="P19" s="582"/>
      <c r="Q19" s="582"/>
      <c r="R19" s="582"/>
      <c r="S19" s="585">
        <v>117.5</v>
      </c>
      <c r="T19" s="584">
        <f t="shared" si="6"/>
        <v>56.466494425</v>
      </c>
    </row>
    <row r="20" spans="1:20" s="586" customFormat="1" ht="15.75" x14ac:dyDescent="0.25">
      <c r="A20" s="581">
        <v>10</v>
      </c>
      <c r="B20" s="582" t="s">
        <v>905</v>
      </c>
      <c r="C20" s="583">
        <v>68659</v>
      </c>
      <c r="D20" s="583">
        <v>4098</v>
      </c>
      <c r="E20" s="583">
        <v>0</v>
      </c>
      <c r="F20" s="583">
        <v>0</v>
      </c>
      <c r="G20" s="583">
        <f t="shared" si="0"/>
        <v>72757</v>
      </c>
      <c r="H20" s="582">
        <v>253</v>
      </c>
      <c r="I20" s="584">
        <f t="shared" si="1"/>
        <v>1840.7521000000002</v>
      </c>
      <c r="J20" s="584">
        <f t="shared" si="2"/>
        <v>1840.7521000000002</v>
      </c>
      <c r="K20" s="582"/>
      <c r="L20" s="582"/>
      <c r="M20" s="584">
        <f t="shared" si="3"/>
        <v>368.15042000000005</v>
      </c>
      <c r="N20" s="584">
        <f t="shared" si="4"/>
        <v>184.07521000000003</v>
      </c>
      <c r="O20" s="584">
        <f t="shared" si="5"/>
        <v>184.07521000000003</v>
      </c>
      <c r="P20" s="582"/>
      <c r="Q20" s="582"/>
      <c r="R20" s="582"/>
      <c r="S20" s="585">
        <v>117.5</v>
      </c>
      <c r="T20" s="584">
        <f t="shared" si="6"/>
        <v>21.628837175000001</v>
      </c>
    </row>
    <row r="21" spans="1:20" s="586" customFormat="1" ht="15.75" x14ac:dyDescent="0.25">
      <c r="A21" s="581">
        <v>11</v>
      </c>
      <c r="B21" s="582" t="s">
        <v>906</v>
      </c>
      <c r="C21" s="583">
        <v>114005</v>
      </c>
      <c r="D21" s="583">
        <v>782</v>
      </c>
      <c r="E21" s="583">
        <v>0</v>
      </c>
      <c r="F21" s="583">
        <v>108</v>
      </c>
      <c r="G21" s="583">
        <f t="shared" si="0"/>
        <v>114895</v>
      </c>
      <c r="H21" s="582">
        <v>253</v>
      </c>
      <c r="I21" s="584">
        <f t="shared" si="1"/>
        <v>2906.8434999999999</v>
      </c>
      <c r="J21" s="584">
        <f t="shared" si="2"/>
        <v>2906.8434999999999</v>
      </c>
      <c r="K21" s="582"/>
      <c r="L21" s="582"/>
      <c r="M21" s="584">
        <f t="shared" si="3"/>
        <v>581.3687000000001</v>
      </c>
      <c r="N21" s="584">
        <f t="shared" si="4"/>
        <v>290.68435000000005</v>
      </c>
      <c r="O21" s="584">
        <f t="shared" si="5"/>
        <v>290.68435000000005</v>
      </c>
      <c r="P21" s="582"/>
      <c r="Q21" s="582"/>
      <c r="R21" s="582"/>
      <c r="S21" s="585">
        <v>117.5</v>
      </c>
      <c r="T21" s="584">
        <f t="shared" si="6"/>
        <v>34.155411125000001</v>
      </c>
    </row>
    <row r="22" spans="1:20" s="586" customFormat="1" ht="15.75" x14ac:dyDescent="0.25">
      <c r="A22" s="581">
        <v>12</v>
      </c>
      <c r="B22" s="582" t="s">
        <v>907</v>
      </c>
      <c r="C22" s="583">
        <v>88558</v>
      </c>
      <c r="D22" s="583">
        <v>3383</v>
      </c>
      <c r="E22" s="583">
        <v>0</v>
      </c>
      <c r="F22" s="583">
        <v>1040</v>
      </c>
      <c r="G22" s="583">
        <f t="shared" si="0"/>
        <v>92981</v>
      </c>
      <c r="H22" s="582">
        <v>253</v>
      </c>
      <c r="I22" s="584">
        <f t="shared" si="1"/>
        <v>2352.4193</v>
      </c>
      <c r="J22" s="584">
        <f t="shared" si="2"/>
        <v>2352.4193</v>
      </c>
      <c r="K22" s="582"/>
      <c r="L22" s="582"/>
      <c r="M22" s="584">
        <f t="shared" si="3"/>
        <v>470.48386000000005</v>
      </c>
      <c r="N22" s="584">
        <f t="shared" si="4"/>
        <v>235.24193000000002</v>
      </c>
      <c r="O22" s="584">
        <f t="shared" si="5"/>
        <v>235.24193000000002</v>
      </c>
      <c r="P22" s="582"/>
      <c r="Q22" s="582"/>
      <c r="R22" s="582"/>
      <c r="S22" s="585">
        <v>117.5</v>
      </c>
      <c r="T22" s="584">
        <f t="shared" si="6"/>
        <v>27.640926775000001</v>
      </c>
    </row>
    <row r="23" spans="1:20" s="586" customFormat="1" ht="15.75" x14ac:dyDescent="0.25">
      <c r="A23" s="581">
        <v>13</v>
      </c>
      <c r="B23" s="582" t="s">
        <v>908</v>
      </c>
      <c r="C23" s="583">
        <v>36144</v>
      </c>
      <c r="D23" s="583">
        <v>664</v>
      </c>
      <c r="E23" s="583">
        <v>0</v>
      </c>
      <c r="F23" s="583">
        <v>176</v>
      </c>
      <c r="G23" s="583">
        <f t="shared" si="0"/>
        <v>36984</v>
      </c>
      <c r="H23" s="582">
        <v>253</v>
      </c>
      <c r="I23" s="584">
        <f t="shared" si="1"/>
        <v>935.6952</v>
      </c>
      <c r="J23" s="584">
        <f t="shared" si="2"/>
        <v>935.6952</v>
      </c>
      <c r="K23" s="582"/>
      <c r="L23" s="582"/>
      <c r="M23" s="584">
        <f t="shared" si="3"/>
        <v>187.13904000000002</v>
      </c>
      <c r="N23" s="584">
        <f t="shared" si="4"/>
        <v>93.569520000000011</v>
      </c>
      <c r="O23" s="584">
        <f t="shared" si="5"/>
        <v>93.569520000000011</v>
      </c>
      <c r="P23" s="582"/>
      <c r="Q23" s="582"/>
      <c r="R23" s="582"/>
      <c r="S23" s="585">
        <v>117.5</v>
      </c>
      <c r="T23" s="584">
        <f t="shared" si="6"/>
        <v>10.994418600000001</v>
      </c>
    </row>
    <row r="24" spans="1:20" s="586" customFormat="1" ht="15.75" x14ac:dyDescent="0.25">
      <c r="A24" s="581">
        <v>14</v>
      </c>
      <c r="B24" s="582" t="s">
        <v>909</v>
      </c>
      <c r="C24" s="583">
        <v>45073</v>
      </c>
      <c r="D24" s="583">
        <v>266</v>
      </c>
      <c r="E24" s="583">
        <v>0</v>
      </c>
      <c r="F24" s="583">
        <v>328</v>
      </c>
      <c r="G24" s="583">
        <f t="shared" si="0"/>
        <v>45667</v>
      </c>
      <c r="H24" s="582">
        <v>253</v>
      </c>
      <c r="I24" s="584">
        <f t="shared" si="1"/>
        <v>1155.3751</v>
      </c>
      <c r="J24" s="584">
        <f t="shared" si="2"/>
        <v>1155.3751</v>
      </c>
      <c r="K24" s="582"/>
      <c r="L24" s="582"/>
      <c r="M24" s="584">
        <f t="shared" si="3"/>
        <v>231.07502000000002</v>
      </c>
      <c r="N24" s="584">
        <f t="shared" si="4"/>
        <v>115.53751000000001</v>
      </c>
      <c r="O24" s="584">
        <f t="shared" si="5"/>
        <v>115.53751000000001</v>
      </c>
      <c r="P24" s="582"/>
      <c r="Q24" s="582"/>
      <c r="R24" s="582"/>
      <c r="S24" s="585">
        <v>117.5</v>
      </c>
      <c r="T24" s="584">
        <f t="shared" si="6"/>
        <v>13.575657424999999</v>
      </c>
    </row>
    <row r="25" spans="1:20" s="586" customFormat="1" ht="15.75" x14ac:dyDescent="0.25">
      <c r="A25" s="581">
        <v>15</v>
      </c>
      <c r="B25" s="582" t="s">
        <v>910</v>
      </c>
      <c r="C25" s="583">
        <v>94656</v>
      </c>
      <c r="D25" s="583">
        <v>607</v>
      </c>
      <c r="E25" s="583">
        <v>0</v>
      </c>
      <c r="F25" s="583">
        <v>359</v>
      </c>
      <c r="G25" s="583">
        <f t="shared" si="0"/>
        <v>95622</v>
      </c>
      <c r="H25" s="582">
        <v>253</v>
      </c>
      <c r="I25" s="584">
        <f t="shared" si="1"/>
        <v>2419.2366000000002</v>
      </c>
      <c r="J25" s="584">
        <f t="shared" si="2"/>
        <v>2419.2366000000002</v>
      </c>
      <c r="K25" s="582"/>
      <c r="L25" s="582"/>
      <c r="M25" s="584">
        <f t="shared" si="3"/>
        <v>483.84732000000002</v>
      </c>
      <c r="N25" s="584">
        <f t="shared" si="4"/>
        <v>241.92366000000001</v>
      </c>
      <c r="O25" s="584">
        <f t="shared" si="5"/>
        <v>241.92366000000001</v>
      </c>
      <c r="P25" s="582"/>
      <c r="Q25" s="582"/>
      <c r="R25" s="582"/>
      <c r="S25" s="585">
        <v>117.5</v>
      </c>
      <c r="T25" s="584">
        <f t="shared" si="6"/>
        <v>28.426030050000005</v>
      </c>
    </row>
    <row r="26" spans="1:20" s="586" customFormat="1" ht="15.75" x14ac:dyDescent="0.25">
      <c r="A26" s="581">
        <v>16</v>
      </c>
      <c r="B26" s="582" t="s">
        <v>911</v>
      </c>
      <c r="C26" s="583">
        <v>192372</v>
      </c>
      <c r="D26" s="583">
        <v>3339</v>
      </c>
      <c r="E26" s="583">
        <v>0</v>
      </c>
      <c r="F26" s="583">
        <v>647</v>
      </c>
      <c r="G26" s="583">
        <f t="shared" si="0"/>
        <v>196358</v>
      </c>
      <c r="H26" s="582">
        <v>253</v>
      </c>
      <c r="I26" s="584">
        <f t="shared" si="1"/>
        <v>4967.8573999999999</v>
      </c>
      <c r="J26" s="584">
        <f t="shared" si="2"/>
        <v>4967.8573999999999</v>
      </c>
      <c r="K26" s="582"/>
      <c r="L26" s="582"/>
      <c r="M26" s="584">
        <f t="shared" si="3"/>
        <v>993.57148000000007</v>
      </c>
      <c r="N26" s="584">
        <f t="shared" si="4"/>
        <v>496.78574000000003</v>
      </c>
      <c r="O26" s="584">
        <f t="shared" si="5"/>
        <v>496.78574000000003</v>
      </c>
      <c r="P26" s="582"/>
      <c r="Q26" s="582"/>
      <c r="R26" s="582"/>
      <c r="S26" s="585">
        <v>117.5</v>
      </c>
      <c r="T26" s="584">
        <f t="shared" si="6"/>
        <v>58.372324450000001</v>
      </c>
    </row>
    <row r="27" spans="1:20" s="586" customFormat="1" ht="15.75" x14ac:dyDescent="0.25">
      <c r="A27" s="581">
        <v>17</v>
      </c>
      <c r="B27" s="582" t="s">
        <v>912</v>
      </c>
      <c r="C27" s="583">
        <v>100708</v>
      </c>
      <c r="D27" s="583">
        <v>1973</v>
      </c>
      <c r="E27" s="583">
        <v>0</v>
      </c>
      <c r="F27" s="583">
        <v>199</v>
      </c>
      <c r="G27" s="583">
        <f t="shared" si="0"/>
        <v>102880</v>
      </c>
      <c r="H27" s="582">
        <v>253</v>
      </c>
      <c r="I27" s="584">
        <f t="shared" si="1"/>
        <v>2602.864</v>
      </c>
      <c r="J27" s="584">
        <f t="shared" si="2"/>
        <v>2602.864</v>
      </c>
      <c r="K27" s="582"/>
      <c r="L27" s="582"/>
      <c r="M27" s="584">
        <f t="shared" si="3"/>
        <v>520.57280000000003</v>
      </c>
      <c r="N27" s="584">
        <f t="shared" si="4"/>
        <v>260.28640000000001</v>
      </c>
      <c r="O27" s="584">
        <f t="shared" si="5"/>
        <v>260.28640000000001</v>
      </c>
      <c r="P27" s="582"/>
      <c r="Q27" s="582"/>
      <c r="R27" s="582"/>
      <c r="S27" s="585">
        <v>117.5</v>
      </c>
      <c r="T27" s="584">
        <f t="shared" si="6"/>
        <v>30.583652000000001</v>
      </c>
    </row>
    <row r="28" spans="1:20" s="586" customFormat="1" ht="15.75" x14ac:dyDescent="0.25">
      <c r="A28" s="581">
        <v>18</v>
      </c>
      <c r="B28" s="582" t="s">
        <v>913</v>
      </c>
      <c r="C28" s="583">
        <v>85447</v>
      </c>
      <c r="D28" s="583">
        <v>105</v>
      </c>
      <c r="E28" s="583">
        <v>0</v>
      </c>
      <c r="F28" s="583">
        <v>37</v>
      </c>
      <c r="G28" s="583">
        <f t="shared" si="0"/>
        <v>85589</v>
      </c>
      <c r="H28" s="582">
        <v>253</v>
      </c>
      <c r="I28" s="584">
        <f t="shared" si="1"/>
        <v>2165.4016999999999</v>
      </c>
      <c r="J28" s="584">
        <f t="shared" si="2"/>
        <v>2165.4016999999999</v>
      </c>
      <c r="K28" s="582"/>
      <c r="L28" s="582"/>
      <c r="M28" s="584">
        <f t="shared" si="3"/>
        <v>433.08034000000004</v>
      </c>
      <c r="N28" s="584">
        <f t="shared" si="4"/>
        <v>216.54017000000002</v>
      </c>
      <c r="O28" s="584">
        <f t="shared" si="5"/>
        <v>216.54017000000002</v>
      </c>
      <c r="P28" s="582"/>
      <c r="Q28" s="582"/>
      <c r="R28" s="582"/>
      <c r="S28" s="585">
        <v>117.5</v>
      </c>
      <c r="T28" s="584">
        <f t="shared" si="6"/>
        <v>25.443469974999999</v>
      </c>
    </row>
    <row r="29" spans="1:20" s="586" customFormat="1" ht="15.75" x14ac:dyDescent="0.25">
      <c r="A29" s="581">
        <v>19</v>
      </c>
      <c r="B29" s="582" t="s">
        <v>914</v>
      </c>
      <c r="C29" s="583">
        <v>108612</v>
      </c>
      <c r="D29" s="583">
        <v>1746</v>
      </c>
      <c r="E29" s="583">
        <v>0</v>
      </c>
      <c r="F29" s="583">
        <v>122</v>
      </c>
      <c r="G29" s="583">
        <f t="shared" si="0"/>
        <v>110480</v>
      </c>
      <c r="H29" s="582">
        <v>253</v>
      </c>
      <c r="I29" s="584">
        <f t="shared" si="1"/>
        <v>2795.1440000000002</v>
      </c>
      <c r="J29" s="584">
        <f t="shared" si="2"/>
        <v>2795.1440000000002</v>
      </c>
      <c r="K29" s="582"/>
      <c r="L29" s="582"/>
      <c r="M29" s="584">
        <f t="shared" si="3"/>
        <v>559.02880000000005</v>
      </c>
      <c r="N29" s="584">
        <f t="shared" si="4"/>
        <v>279.51440000000002</v>
      </c>
      <c r="O29" s="584">
        <f t="shared" si="5"/>
        <v>279.51440000000002</v>
      </c>
      <c r="P29" s="582"/>
      <c r="Q29" s="582"/>
      <c r="R29" s="582"/>
      <c r="S29" s="585">
        <v>117.5</v>
      </c>
      <c r="T29" s="584">
        <f t="shared" si="6"/>
        <v>32.842942000000001</v>
      </c>
    </row>
    <row r="30" spans="1:20" s="586" customFormat="1" ht="15.75" x14ac:dyDescent="0.25">
      <c r="A30" s="581">
        <v>20</v>
      </c>
      <c r="B30" s="582" t="s">
        <v>915</v>
      </c>
      <c r="C30" s="583">
        <v>58492</v>
      </c>
      <c r="D30" s="583">
        <v>297</v>
      </c>
      <c r="E30" s="583">
        <v>0</v>
      </c>
      <c r="F30" s="583">
        <v>247</v>
      </c>
      <c r="G30" s="583">
        <f t="shared" si="0"/>
        <v>59036</v>
      </c>
      <c r="H30" s="582">
        <v>253</v>
      </c>
      <c r="I30" s="584">
        <f t="shared" si="1"/>
        <v>1493.6108000000002</v>
      </c>
      <c r="J30" s="584">
        <f t="shared" si="2"/>
        <v>1493.6108000000002</v>
      </c>
      <c r="K30" s="582"/>
      <c r="L30" s="582"/>
      <c r="M30" s="584">
        <f t="shared" si="3"/>
        <v>298.72216000000003</v>
      </c>
      <c r="N30" s="584">
        <f t="shared" si="4"/>
        <v>149.36108000000002</v>
      </c>
      <c r="O30" s="584">
        <f t="shared" si="5"/>
        <v>149.36108000000002</v>
      </c>
      <c r="P30" s="582"/>
      <c r="Q30" s="582"/>
      <c r="R30" s="582"/>
      <c r="S30" s="585">
        <v>117.5</v>
      </c>
      <c r="T30" s="584">
        <f t="shared" si="6"/>
        <v>17.549926900000003</v>
      </c>
    </row>
    <row r="31" spans="1:20" s="586" customFormat="1" ht="15.75" x14ac:dyDescent="0.25">
      <c r="A31" s="581">
        <v>21</v>
      </c>
      <c r="B31" s="582" t="s">
        <v>916</v>
      </c>
      <c r="C31" s="583">
        <v>105586</v>
      </c>
      <c r="D31" s="583">
        <v>1686</v>
      </c>
      <c r="E31" s="583">
        <v>0</v>
      </c>
      <c r="F31" s="583">
        <v>3818</v>
      </c>
      <c r="G31" s="583">
        <f t="shared" si="0"/>
        <v>111090</v>
      </c>
      <c r="H31" s="582">
        <v>253</v>
      </c>
      <c r="I31" s="584">
        <f t="shared" si="1"/>
        <v>2810.5770000000002</v>
      </c>
      <c r="J31" s="584">
        <f t="shared" si="2"/>
        <v>2810.5770000000002</v>
      </c>
      <c r="K31" s="582"/>
      <c r="L31" s="582"/>
      <c r="M31" s="584">
        <f t="shared" si="3"/>
        <v>562.11540000000002</v>
      </c>
      <c r="N31" s="584">
        <f t="shared" si="4"/>
        <v>281.05770000000001</v>
      </c>
      <c r="O31" s="584">
        <f t="shared" si="5"/>
        <v>281.05770000000001</v>
      </c>
      <c r="P31" s="582"/>
      <c r="Q31" s="582"/>
      <c r="R31" s="582"/>
      <c r="S31" s="585">
        <v>117.5</v>
      </c>
      <c r="T31" s="584">
        <f t="shared" si="6"/>
        <v>33.024279749999998</v>
      </c>
    </row>
    <row r="32" spans="1:20" s="586" customFormat="1" ht="15.75" x14ac:dyDescent="0.25">
      <c r="A32" s="581">
        <v>22</v>
      </c>
      <c r="B32" s="582" t="s">
        <v>917</v>
      </c>
      <c r="C32" s="583">
        <v>83961</v>
      </c>
      <c r="D32" s="583">
        <v>1928</v>
      </c>
      <c r="E32" s="583">
        <v>0</v>
      </c>
      <c r="F32" s="583">
        <v>3108</v>
      </c>
      <c r="G32" s="583">
        <f t="shared" si="0"/>
        <v>88997</v>
      </c>
      <c r="H32" s="582">
        <v>253</v>
      </c>
      <c r="I32" s="584">
        <f t="shared" si="1"/>
        <v>2251.6241</v>
      </c>
      <c r="J32" s="584">
        <f t="shared" si="2"/>
        <v>2251.6241</v>
      </c>
      <c r="K32" s="582"/>
      <c r="L32" s="582"/>
      <c r="M32" s="584">
        <f t="shared" si="3"/>
        <v>450.32482000000005</v>
      </c>
      <c r="N32" s="584">
        <f t="shared" si="4"/>
        <v>225.16241000000002</v>
      </c>
      <c r="O32" s="584">
        <f t="shared" si="5"/>
        <v>225.16241000000002</v>
      </c>
      <c r="P32" s="582"/>
      <c r="Q32" s="582"/>
      <c r="R32" s="582"/>
      <c r="S32" s="585">
        <v>117.5</v>
      </c>
      <c r="T32" s="584">
        <f t="shared" si="6"/>
        <v>26.456583174999999</v>
      </c>
    </row>
    <row r="33" spans="1:20" s="586" customFormat="1" ht="15.75" x14ac:dyDescent="0.25">
      <c r="A33" s="581">
        <v>23</v>
      </c>
      <c r="B33" s="582" t="s">
        <v>918</v>
      </c>
      <c r="C33" s="583">
        <v>112210</v>
      </c>
      <c r="D33" s="583">
        <v>2270</v>
      </c>
      <c r="E33" s="583">
        <v>0</v>
      </c>
      <c r="F33" s="583">
        <v>5189</v>
      </c>
      <c r="G33" s="583">
        <f t="shared" si="0"/>
        <v>119669</v>
      </c>
      <c r="H33" s="582">
        <v>253</v>
      </c>
      <c r="I33" s="584">
        <f t="shared" si="1"/>
        <v>3027.6257000000001</v>
      </c>
      <c r="J33" s="584">
        <f t="shared" si="2"/>
        <v>3027.6257000000001</v>
      </c>
      <c r="K33" s="582"/>
      <c r="L33" s="582"/>
      <c r="M33" s="584">
        <f t="shared" si="3"/>
        <v>605.52514000000008</v>
      </c>
      <c r="N33" s="584">
        <f t="shared" si="4"/>
        <v>302.76257000000004</v>
      </c>
      <c r="O33" s="584">
        <f t="shared" si="5"/>
        <v>302.76257000000004</v>
      </c>
      <c r="P33" s="582"/>
      <c r="Q33" s="582"/>
      <c r="R33" s="582"/>
      <c r="S33" s="585">
        <v>117.5</v>
      </c>
      <c r="T33" s="584">
        <f t="shared" si="6"/>
        <v>35.574601975</v>
      </c>
    </row>
    <row r="34" spans="1:20" s="586" customFormat="1" ht="15.75" x14ac:dyDescent="0.25">
      <c r="A34" s="581">
        <v>24</v>
      </c>
      <c r="B34" s="582" t="s">
        <v>919</v>
      </c>
      <c r="C34" s="583">
        <v>122568</v>
      </c>
      <c r="D34" s="583">
        <v>379</v>
      </c>
      <c r="E34" s="583">
        <v>0</v>
      </c>
      <c r="F34" s="583">
        <v>311</v>
      </c>
      <c r="G34" s="583">
        <f t="shared" si="0"/>
        <v>123258</v>
      </c>
      <c r="H34" s="582">
        <v>253</v>
      </c>
      <c r="I34" s="584">
        <f t="shared" si="1"/>
        <v>3118.4274</v>
      </c>
      <c r="J34" s="584">
        <f t="shared" si="2"/>
        <v>3118.4274</v>
      </c>
      <c r="K34" s="582"/>
      <c r="L34" s="582"/>
      <c r="M34" s="584">
        <f t="shared" si="3"/>
        <v>623.6854800000001</v>
      </c>
      <c r="N34" s="584">
        <f t="shared" si="4"/>
        <v>311.84274000000005</v>
      </c>
      <c r="O34" s="584">
        <f>G34*H34*0.00001</f>
        <v>311.84274000000005</v>
      </c>
      <c r="P34" s="582"/>
      <c r="Q34" s="582"/>
      <c r="R34" s="582"/>
      <c r="S34" s="585">
        <v>117.5</v>
      </c>
      <c r="T34" s="584">
        <f t="shared" si="6"/>
        <v>36.641521949999998</v>
      </c>
    </row>
    <row r="35" spans="1:20" s="589" customFormat="1" ht="15.75" x14ac:dyDescent="0.25">
      <c r="A35" s="1111" t="s">
        <v>18</v>
      </c>
      <c r="B35" s="1111"/>
      <c r="C35" s="587">
        <f>SUM(C11:C34)</f>
        <v>2138421</v>
      </c>
      <c r="D35" s="587">
        <f>SUM(D11:D34)</f>
        <v>139732</v>
      </c>
      <c r="E35" s="587">
        <f>SUM(E11:E34)</f>
        <v>0</v>
      </c>
      <c r="F35" s="587">
        <f>SUM(F11:F34)</f>
        <v>16564</v>
      </c>
      <c r="G35" s="587">
        <f>SUM(C35:F35)</f>
        <v>2294717</v>
      </c>
      <c r="H35" s="587"/>
      <c r="I35" s="584">
        <f>SUM(I11:I34)</f>
        <v>58056.340100000001</v>
      </c>
      <c r="J35" s="588">
        <f>SUM(J11:J34)</f>
        <v>58056.340100000001</v>
      </c>
      <c r="K35" s="587"/>
      <c r="L35" s="587"/>
      <c r="M35" s="588">
        <f>SUM(M11:M34)</f>
        <v>11611.268020000001</v>
      </c>
      <c r="N35" s="588">
        <f>SUM(N11:N34)</f>
        <v>5805.6340100000007</v>
      </c>
      <c r="O35" s="588">
        <f>SUM(O11:O34)</f>
        <v>5805.6340100000007</v>
      </c>
      <c r="P35" s="587"/>
      <c r="Q35" s="587"/>
      <c r="R35" s="587"/>
      <c r="S35" s="587"/>
      <c r="T35" s="588">
        <f>SUM(T11:T34)</f>
        <v>682.1619961749999</v>
      </c>
    </row>
    <row r="36" spans="1:20" s="589" customFormat="1" ht="15.75" x14ac:dyDescent="0.25">
      <c r="A36" s="678"/>
      <c r="B36" s="678"/>
      <c r="C36" s="602"/>
      <c r="D36" s="602"/>
      <c r="E36" s="602"/>
      <c r="F36" s="602"/>
      <c r="G36" s="602"/>
      <c r="H36" s="602"/>
      <c r="I36" s="679"/>
      <c r="J36" s="604"/>
      <c r="K36" s="602"/>
      <c r="L36" s="602"/>
      <c r="M36" s="604"/>
      <c r="N36" s="604"/>
      <c r="O36" s="604"/>
      <c r="P36" s="602"/>
      <c r="Q36" s="602"/>
      <c r="R36" s="602"/>
      <c r="S36" s="602"/>
      <c r="T36" s="604"/>
    </row>
    <row r="37" spans="1:20" s="586" customFormat="1" ht="18" x14ac:dyDescent="0.25">
      <c r="A37" s="590"/>
      <c r="B37" s="591"/>
      <c r="C37" s="592"/>
      <c r="D37" s="592"/>
      <c r="E37" s="593"/>
      <c r="F37" s="592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</row>
    <row r="38" spans="1:20" ht="15" x14ac:dyDescent="0.25">
      <c r="A38" s="51" t="s">
        <v>11</v>
      </c>
      <c r="G38" s="594"/>
      <c r="I38" s="776"/>
      <c r="J38" s="1112"/>
      <c r="K38" s="1112"/>
      <c r="L38" s="1112"/>
      <c r="M38" s="1112"/>
      <c r="N38" s="1112"/>
      <c r="O38" s="1112"/>
      <c r="P38" s="1112"/>
      <c r="Q38" s="1112"/>
      <c r="R38" s="1112"/>
      <c r="S38" s="1112"/>
      <c r="T38" s="1112"/>
    </row>
    <row r="39" spans="1:20" x14ac:dyDescent="0.2">
      <c r="I39" s="1112"/>
      <c r="J39" s="1112"/>
      <c r="K39" s="1112"/>
      <c r="L39" s="1112"/>
      <c r="M39" s="1112"/>
      <c r="N39" s="1112"/>
      <c r="O39" s="1112"/>
      <c r="P39" s="1112"/>
      <c r="Q39" s="1112"/>
      <c r="R39" s="1112"/>
      <c r="S39" s="1112"/>
      <c r="T39" s="1112"/>
    </row>
    <row r="40" spans="1:20" ht="15" x14ac:dyDescent="0.2">
      <c r="A40" s="580"/>
      <c r="B40" s="580"/>
      <c r="J40" s="580"/>
      <c r="K40" s="580"/>
      <c r="L40" s="580"/>
      <c r="M40" s="580"/>
      <c r="N40" s="580"/>
      <c r="O40" s="580"/>
      <c r="P40" s="580"/>
      <c r="Q40" s="647" t="s">
        <v>12</v>
      </c>
      <c r="R40" s="580"/>
      <c r="S40" s="580"/>
      <c r="T40" s="580"/>
    </row>
    <row r="41" spans="1:20" x14ac:dyDescent="0.2">
      <c r="Q41" s="574" t="s">
        <v>1122</v>
      </c>
    </row>
    <row r="42" spans="1:20" x14ac:dyDescent="0.2">
      <c r="A42" s="677"/>
      <c r="B42" s="677"/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 t="s">
        <v>1121</v>
      </c>
      <c r="R42" s="677"/>
      <c r="S42" s="677"/>
      <c r="T42" s="677"/>
    </row>
    <row r="43" spans="1:20" x14ac:dyDescent="0.2">
      <c r="Q43" s="574" t="s">
        <v>703</v>
      </c>
    </row>
  </sheetData>
  <mergeCells count="18">
    <mergeCell ref="A6:T6"/>
    <mergeCell ref="G1:I1"/>
    <mergeCell ref="Q1:T1"/>
    <mergeCell ref="A2:T2"/>
    <mergeCell ref="A3:T3"/>
    <mergeCell ref="A4:T5"/>
    <mergeCell ref="A35:B35"/>
    <mergeCell ref="J38:T38"/>
    <mergeCell ref="I39:T39"/>
    <mergeCell ref="L7:T7"/>
    <mergeCell ref="A8:A9"/>
    <mergeCell ref="B8:B9"/>
    <mergeCell ref="C8:G8"/>
    <mergeCell ref="H8:H9"/>
    <mergeCell ref="I8:L8"/>
    <mergeCell ref="M8:R8"/>
    <mergeCell ref="S8:T8"/>
    <mergeCell ref="A7:C7"/>
  </mergeCells>
  <printOptions horizontalCentered="1"/>
  <pageMargins left="0.36" right="0.16" top="0.23622047244094491" bottom="0" header="0.31496062992125984" footer="0.31496062992125984"/>
  <pageSetup paperSize="9" scale="5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T45"/>
  <sheetViews>
    <sheetView topLeftCell="A23" zoomScale="90" zoomScaleNormal="90" zoomScaleSheetLayoutView="100" workbookViewId="0">
      <selection activeCell="G35" sqref="G35"/>
    </sheetView>
  </sheetViews>
  <sheetFormatPr defaultRowHeight="12.75" x14ac:dyDescent="0.2"/>
  <cols>
    <col min="1" max="1" width="5.5703125" style="574" customWidth="1"/>
    <col min="2" max="2" width="21.5703125" style="574" bestFit="1" customWidth="1"/>
    <col min="3" max="3" width="10.28515625" style="574" customWidth="1"/>
    <col min="4" max="4" width="8.42578125" style="574" customWidth="1"/>
    <col min="5" max="6" width="9.85546875" style="574" customWidth="1"/>
    <col min="7" max="7" width="10.85546875" style="574" customWidth="1"/>
    <col min="8" max="8" width="12.85546875" style="574" customWidth="1"/>
    <col min="9" max="20" width="12.140625" style="574" customWidth="1"/>
    <col min="21" max="256" width="9.140625" style="574"/>
    <col min="257" max="257" width="5.5703125" style="574" customWidth="1"/>
    <col min="258" max="258" width="21.5703125" style="574" bestFit="1" customWidth="1"/>
    <col min="259" max="259" width="10.28515625" style="574" customWidth="1"/>
    <col min="260" max="260" width="8.42578125" style="574" customWidth="1"/>
    <col min="261" max="262" width="9.85546875" style="574" customWidth="1"/>
    <col min="263" max="263" width="10.85546875" style="574" customWidth="1"/>
    <col min="264" max="264" width="12.85546875" style="574" customWidth="1"/>
    <col min="265" max="276" width="12.140625" style="574" customWidth="1"/>
    <col min="277" max="512" width="9.140625" style="574"/>
    <col min="513" max="513" width="5.5703125" style="574" customWidth="1"/>
    <col min="514" max="514" width="21.5703125" style="574" bestFit="1" customWidth="1"/>
    <col min="515" max="515" width="10.28515625" style="574" customWidth="1"/>
    <col min="516" max="516" width="8.42578125" style="574" customWidth="1"/>
    <col min="517" max="518" width="9.85546875" style="574" customWidth="1"/>
    <col min="519" max="519" width="10.85546875" style="574" customWidth="1"/>
    <col min="520" max="520" width="12.85546875" style="574" customWidth="1"/>
    <col min="521" max="532" width="12.140625" style="574" customWidth="1"/>
    <col min="533" max="768" width="9.140625" style="574"/>
    <col min="769" max="769" width="5.5703125" style="574" customWidth="1"/>
    <col min="770" max="770" width="21.5703125" style="574" bestFit="1" customWidth="1"/>
    <col min="771" max="771" width="10.28515625" style="574" customWidth="1"/>
    <col min="772" max="772" width="8.42578125" style="574" customWidth="1"/>
    <col min="773" max="774" width="9.85546875" style="574" customWidth="1"/>
    <col min="775" max="775" width="10.85546875" style="574" customWidth="1"/>
    <col min="776" max="776" width="12.85546875" style="574" customWidth="1"/>
    <col min="777" max="788" width="12.140625" style="574" customWidth="1"/>
    <col min="789" max="1024" width="9.140625" style="574"/>
    <col min="1025" max="1025" width="5.5703125" style="574" customWidth="1"/>
    <col min="1026" max="1026" width="21.5703125" style="574" bestFit="1" customWidth="1"/>
    <col min="1027" max="1027" width="10.28515625" style="574" customWidth="1"/>
    <col min="1028" max="1028" width="8.42578125" style="574" customWidth="1"/>
    <col min="1029" max="1030" width="9.85546875" style="574" customWidth="1"/>
    <col min="1031" max="1031" width="10.85546875" style="574" customWidth="1"/>
    <col min="1032" max="1032" width="12.85546875" style="574" customWidth="1"/>
    <col min="1033" max="1044" width="12.140625" style="574" customWidth="1"/>
    <col min="1045" max="1280" width="9.140625" style="574"/>
    <col min="1281" max="1281" width="5.5703125" style="574" customWidth="1"/>
    <col min="1282" max="1282" width="21.5703125" style="574" bestFit="1" customWidth="1"/>
    <col min="1283" max="1283" width="10.28515625" style="574" customWidth="1"/>
    <col min="1284" max="1284" width="8.42578125" style="574" customWidth="1"/>
    <col min="1285" max="1286" width="9.85546875" style="574" customWidth="1"/>
    <col min="1287" max="1287" width="10.85546875" style="574" customWidth="1"/>
    <col min="1288" max="1288" width="12.85546875" style="574" customWidth="1"/>
    <col min="1289" max="1300" width="12.140625" style="574" customWidth="1"/>
    <col min="1301" max="1536" width="9.140625" style="574"/>
    <col min="1537" max="1537" width="5.5703125" style="574" customWidth="1"/>
    <col min="1538" max="1538" width="21.5703125" style="574" bestFit="1" customWidth="1"/>
    <col min="1539" max="1539" width="10.28515625" style="574" customWidth="1"/>
    <col min="1540" max="1540" width="8.42578125" style="574" customWidth="1"/>
    <col min="1541" max="1542" width="9.85546875" style="574" customWidth="1"/>
    <col min="1543" max="1543" width="10.85546875" style="574" customWidth="1"/>
    <col min="1544" max="1544" width="12.85546875" style="574" customWidth="1"/>
    <col min="1545" max="1556" width="12.140625" style="574" customWidth="1"/>
    <col min="1557" max="1792" width="9.140625" style="574"/>
    <col min="1793" max="1793" width="5.5703125" style="574" customWidth="1"/>
    <col min="1794" max="1794" width="21.5703125" style="574" bestFit="1" customWidth="1"/>
    <col min="1795" max="1795" width="10.28515625" style="574" customWidth="1"/>
    <col min="1796" max="1796" width="8.42578125" style="574" customWidth="1"/>
    <col min="1797" max="1798" width="9.85546875" style="574" customWidth="1"/>
    <col min="1799" max="1799" width="10.85546875" style="574" customWidth="1"/>
    <col min="1800" max="1800" width="12.85546875" style="574" customWidth="1"/>
    <col min="1801" max="1812" width="12.140625" style="574" customWidth="1"/>
    <col min="1813" max="2048" width="9.140625" style="574"/>
    <col min="2049" max="2049" width="5.5703125" style="574" customWidth="1"/>
    <col min="2050" max="2050" width="21.5703125" style="574" bestFit="1" customWidth="1"/>
    <col min="2051" max="2051" width="10.28515625" style="574" customWidth="1"/>
    <col min="2052" max="2052" width="8.42578125" style="574" customWidth="1"/>
    <col min="2053" max="2054" width="9.85546875" style="574" customWidth="1"/>
    <col min="2055" max="2055" width="10.85546875" style="574" customWidth="1"/>
    <col min="2056" max="2056" width="12.85546875" style="574" customWidth="1"/>
    <col min="2057" max="2068" width="12.140625" style="574" customWidth="1"/>
    <col min="2069" max="2304" width="9.140625" style="574"/>
    <col min="2305" max="2305" width="5.5703125" style="574" customWidth="1"/>
    <col min="2306" max="2306" width="21.5703125" style="574" bestFit="1" customWidth="1"/>
    <col min="2307" max="2307" width="10.28515625" style="574" customWidth="1"/>
    <col min="2308" max="2308" width="8.42578125" style="574" customWidth="1"/>
    <col min="2309" max="2310" width="9.85546875" style="574" customWidth="1"/>
    <col min="2311" max="2311" width="10.85546875" style="574" customWidth="1"/>
    <col min="2312" max="2312" width="12.85546875" style="574" customWidth="1"/>
    <col min="2313" max="2324" width="12.140625" style="574" customWidth="1"/>
    <col min="2325" max="2560" width="9.140625" style="574"/>
    <col min="2561" max="2561" width="5.5703125" style="574" customWidth="1"/>
    <col min="2562" max="2562" width="21.5703125" style="574" bestFit="1" customWidth="1"/>
    <col min="2563" max="2563" width="10.28515625" style="574" customWidth="1"/>
    <col min="2564" max="2564" width="8.42578125" style="574" customWidth="1"/>
    <col min="2565" max="2566" width="9.85546875" style="574" customWidth="1"/>
    <col min="2567" max="2567" width="10.85546875" style="574" customWidth="1"/>
    <col min="2568" max="2568" width="12.85546875" style="574" customWidth="1"/>
    <col min="2569" max="2580" width="12.140625" style="574" customWidth="1"/>
    <col min="2581" max="2816" width="9.140625" style="574"/>
    <col min="2817" max="2817" width="5.5703125" style="574" customWidth="1"/>
    <col min="2818" max="2818" width="21.5703125" style="574" bestFit="1" customWidth="1"/>
    <col min="2819" max="2819" width="10.28515625" style="574" customWidth="1"/>
    <col min="2820" max="2820" width="8.42578125" style="574" customWidth="1"/>
    <col min="2821" max="2822" width="9.85546875" style="574" customWidth="1"/>
    <col min="2823" max="2823" width="10.85546875" style="574" customWidth="1"/>
    <col min="2824" max="2824" width="12.85546875" style="574" customWidth="1"/>
    <col min="2825" max="2836" width="12.140625" style="574" customWidth="1"/>
    <col min="2837" max="3072" width="9.140625" style="574"/>
    <col min="3073" max="3073" width="5.5703125" style="574" customWidth="1"/>
    <col min="3074" max="3074" width="21.5703125" style="574" bestFit="1" customWidth="1"/>
    <col min="3075" max="3075" width="10.28515625" style="574" customWidth="1"/>
    <col min="3076" max="3076" width="8.42578125" style="574" customWidth="1"/>
    <col min="3077" max="3078" width="9.85546875" style="574" customWidth="1"/>
    <col min="3079" max="3079" width="10.85546875" style="574" customWidth="1"/>
    <col min="3080" max="3080" width="12.85546875" style="574" customWidth="1"/>
    <col min="3081" max="3092" width="12.140625" style="574" customWidth="1"/>
    <col min="3093" max="3328" width="9.140625" style="574"/>
    <col min="3329" max="3329" width="5.5703125" style="574" customWidth="1"/>
    <col min="3330" max="3330" width="21.5703125" style="574" bestFit="1" customWidth="1"/>
    <col min="3331" max="3331" width="10.28515625" style="574" customWidth="1"/>
    <col min="3332" max="3332" width="8.42578125" style="574" customWidth="1"/>
    <col min="3333" max="3334" width="9.85546875" style="574" customWidth="1"/>
    <col min="3335" max="3335" width="10.85546875" style="574" customWidth="1"/>
    <col min="3336" max="3336" width="12.85546875" style="574" customWidth="1"/>
    <col min="3337" max="3348" width="12.140625" style="574" customWidth="1"/>
    <col min="3349" max="3584" width="9.140625" style="574"/>
    <col min="3585" max="3585" width="5.5703125" style="574" customWidth="1"/>
    <col min="3586" max="3586" width="21.5703125" style="574" bestFit="1" customWidth="1"/>
    <col min="3587" max="3587" width="10.28515625" style="574" customWidth="1"/>
    <col min="3588" max="3588" width="8.42578125" style="574" customWidth="1"/>
    <col min="3589" max="3590" width="9.85546875" style="574" customWidth="1"/>
    <col min="3591" max="3591" width="10.85546875" style="574" customWidth="1"/>
    <col min="3592" max="3592" width="12.85546875" style="574" customWidth="1"/>
    <col min="3593" max="3604" width="12.140625" style="574" customWidth="1"/>
    <col min="3605" max="3840" width="9.140625" style="574"/>
    <col min="3841" max="3841" width="5.5703125" style="574" customWidth="1"/>
    <col min="3842" max="3842" width="21.5703125" style="574" bestFit="1" customWidth="1"/>
    <col min="3843" max="3843" width="10.28515625" style="574" customWidth="1"/>
    <col min="3844" max="3844" width="8.42578125" style="574" customWidth="1"/>
    <col min="3845" max="3846" width="9.85546875" style="574" customWidth="1"/>
    <col min="3847" max="3847" width="10.85546875" style="574" customWidth="1"/>
    <col min="3848" max="3848" width="12.85546875" style="574" customWidth="1"/>
    <col min="3849" max="3860" width="12.140625" style="574" customWidth="1"/>
    <col min="3861" max="4096" width="9.140625" style="574"/>
    <col min="4097" max="4097" width="5.5703125" style="574" customWidth="1"/>
    <col min="4098" max="4098" width="21.5703125" style="574" bestFit="1" customWidth="1"/>
    <col min="4099" max="4099" width="10.28515625" style="574" customWidth="1"/>
    <col min="4100" max="4100" width="8.42578125" style="574" customWidth="1"/>
    <col min="4101" max="4102" width="9.85546875" style="574" customWidth="1"/>
    <col min="4103" max="4103" width="10.85546875" style="574" customWidth="1"/>
    <col min="4104" max="4104" width="12.85546875" style="574" customWidth="1"/>
    <col min="4105" max="4116" width="12.140625" style="574" customWidth="1"/>
    <col min="4117" max="4352" width="9.140625" style="574"/>
    <col min="4353" max="4353" width="5.5703125" style="574" customWidth="1"/>
    <col min="4354" max="4354" width="21.5703125" style="574" bestFit="1" customWidth="1"/>
    <col min="4355" max="4355" width="10.28515625" style="574" customWidth="1"/>
    <col min="4356" max="4356" width="8.42578125" style="574" customWidth="1"/>
    <col min="4357" max="4358" width="9.85546875" style="574" customWidth="1"/>
    <col min="4359" max="4359" width="10.85546875" style="574" customWidth="1"/>
    <col min="4360" max="4360" width="12.85546875" style="574" customWidth="1"/>
    <col min="4361" max="4372" width="12.140625" style="574" customWidth="1"/>
    <col min="4373" max="4608" width="9.140625" style="574"/>
    <col min="4609" max="4609" width="5.5703125" style="574" customWidth="1"/>
    <col min="4610" max="4610" width="21.5703125" style="574" bestFit="1" customWidth="1"/>
    <col min="4611" max="4611" width="10.28515625" style="574" customWidth="1"/>
    <col min="4612" max="4612" width="8.42578125" style="574" customWidth="1"/>
    <col min="4613" max="4614" width="9.85546875" style="574" customWidth="1"/>
    <col min="4615" max="4615" width="10.85546875" style="574" customWidth="1"/>
    <col min="4616" max="4616" width="12.85546875" style="574" customWidth="1"/>
    <col min="4617" max="4628" width="12.140625" style="574" customWidth="1"/>
    <col min="4629" max="4864" width="9.140625" style="574"/>
    <col min="4865" max="4865" width="5.5703125" style="574" customWidth="1"/>
    <col min="4866" max="4866" width="21.5703125" style="574" bestFit="1" customWidth="1"/>
    <col min="4867" max="4867" width="10.28515625" style="574" customWidth="1"/>
    <col min="4868" max="4868" width="8.42578125" style="574" customWidth="1"/>
    <col min="4869" max="4870" width="9.85546875" style="574" customWidth="1"/>
    <col min="4871" max="4871" width="10.85546875" style="574" customWidth="1"/>
    <col min="4872" max="4872" width="12.85546875" style="574" customWidth="1"/>
    <col min="4873" max="4884" width="12.140625" style="574" customWidth="1"/>
    <col min="4885" max="5120" width="9.140625" style="574"/>
    <col min="5121" max="5121" width="5.5703125" style="574" customWidth="1"/>
    <col min="5122" max="5122" width="21.5703125" style="574" bestFit="1" customWidth="1"/>
    <col min="5123" max="5123" width="10.28515625" style="574" customWidth="1"/>
    <col min="5124" max="5124" width="8.42578125" style="574" customWidth="1"/>
    <col min="5125" max="5126" width="9.85546875" style="574" customWidth="1"/>
    <col min="5127" max="5127" width="10.85546875" style="574" customWidth="1"/>
    <col min="5128" max="5128" width="12.85546875" style="574" customWidth="1"/>
    <col min="5129" max="5140" width="12.140625" style="574" customWidth="1"/>
    <col min="5141" max="5376" width="9.140625" style="574"/>
    <col min="5377" max="5377" width="5.5703125" style="574" customWidth="1"/>
    <col min="5378" max="5378" width="21.5703125" style="574" bestFit="1" customWidth="1"/>
    <col min="5379" max="5379" width="10.28515625" style="574" customWidth="1"/>
    <col min="5380" max="5380" width="8.42578125" style="574" customWidth="1"/>
    <col min="5381" max="5382" width="9.85546875" style="574" customWidth="1"/>
    <col min="5383" max="5383" width="10.85546875" style="574" customWidth="1"/>
    <col min="5384" max="5384" width="12.85546875" style="574" customWidth="1"/>
    <col min="5385" max="5396" width="12.140625" style="574" customWidth="1"/>
    <col min="5397" max="5632" width="9.140625" style="574"/>
    <col min="5633" max="5633" width="5.5703125" style="574" customWidth="1"/>
    <col min="5634" max="5634" width="21.5703125" style="574" bestFit="1" customWidth="1"/>
    <col min="5635" max="5635" width="10.28515625" style="574" customWidth="1"/>
    <col min="5636" max="5636" width="8.42578125" style="574" customWidth="1"/>
    <col min="5637" max="5638" width="9.85546875" style="574" customWidth="1"/>
    <col min="5639" max="5639" width="10.85546875" style="574" customWidth="1"/>
    <col min="5640" max="5640" width="12.85546875" style="574" customWidth="1"/>
    <col min="5641" max="5652" width="12.140625" style="574" customWidth="1"/>
    <col min="5653" max="5888" width="9.140625" style="574"/>
    <col min="5889" max="5889" width="5.5703125" style="574" customWidth="1"/>
    <col min="5890" max="5890" width="21.5703125" style="574" bestFit="1" customWidth="1"/>
    <col min="5891" max="5891" width="10.28515625" style="574" customWidth="1"/>
    <col min="5892" max="5892" width="8.42578125" style="574" customWidth="1"/>
    <col min="5893" max="5894" width="9.85546875" style="574" customWidth="1"/>
    <col min="5895" max="5895" width="10.85546875" style="574" customWidth="1"/>
    <col min="5896" max="5896" width="12.85546875" style="574" customWidth="1"/>
    <col min="5897" max="5908" width="12.140625" style="574" customWidth="1"/>
    <col min="5909" max="6144" width="9.140625" style="574"/>
    <col min="6145" max="6145" width="5.5703125" style="574" customWidth="1"/>
    <col min="6146" max="6146" width="21.5703125" style="574" bestFit="1" customWidth="1"/>
    <col min="6147" max="6147" width="10.28515625" style="574" customWidth="1"/>
    <col min="6148" max="6148" width="8.42578125" style="574" customWidth="1"/>
    <col min="6149" max="6150" width="9.85546875" style="574" customWidth="1"/>
    <col min="6151" max="6151" width="10.85546875" style="574" customWidth="1"/>
    <col min="6152" max="6152" width="12.85546875" style="574" customWidth="1"/>
    <col min="6153" max="6164" width="12.140625" style="574" customWidth="1"/>
    <col min="6165" max="6400" width="9.140625" style="574"/>
    <col min="6401" max="6401" width="5.5703125" style="574" customWidth="1"/>
    <col min="6402" max="6402" width="21.5703125" style="574" bestFit="1" customWidth="1"/>
    <col min="6403" max="6403" width="10.28515625" style="574" customWidth="1"/>
    <col min="6404" max="6404" width="8.42578125" style="574" customWidth="1"/>
    <col min="6405" max="6406" width="9.85546875" style="574" customWidth="1"/>
    <col min="6407" max="6407" width="10.85546875" style="574" customWidth="1"/>
    <col min="6408" max="6408" width="12.85546875" style="574" customWidth="1"/>
    <col min="6409" max="6420" width="12.140625" style="574" customWidth="1"/>
    <col min="6421" max="6656" width="9.140625" style="574"/>
    <col min="6657" max="6657" width="5.5703125" style="574" customWidth="1"/>
    <col min="6658" max="6658" width="21.5703125" style="574" bestFit="1" customWidth="1"/>
    <col min="6659" max="6659" width="10.28515625" style="574" customWidth="1"/>
    <col min="6660" max="6660" width="8.42578125" style="574" customWidth="1"/>
    <col min="6661" max="6662" width="9.85546875" style="574" customWidth="1"/>
    <col min="6663" max="6663" width="10.85546875" style="574" customWidth="1"/>
    <col min="6664" max="6664" width="12.85546875" style="574" customWidth="1"/>
    <col min="6665" max="6676" width="12.140625" style="574" customWidth="1"/>
    <col min="6677" max="6912" width="9.140625" style="574"/>
    <col min="6913" max="6913" width="5.5703125" style="574" customWidth="1"/>
    <col min="6914" max="6914" width="21.5703125" style="574" bestFit="1" customWidth="1"/>
    <col min="6915" max="6915" width="10.28515625" style="574" customWidth="1"/>
    <col min="6916" max="6916" width="8.42578125" style="574" customWidth="1"/>
    <col min="6917" max="6918" width="9.85546875" style="574" customWidth="1"/>
    <col min="6919" max="6919" width="10.85546875" style="574" customWidth="1"/>
    <col min="6920" max="6920" width="12.85546875" style="574" customWidth="1"/>
    <col min="6921" max="6932" width="12.140625" style="574" customWidth="1"/>
    <col min="6933" max="7168" width="9.140625" style="574"/>
    <col min="7169" max="7169" width="5.5703125" style="574" customWidth="1"/>
    <col min="7170" max="7170" width="21.5703125" style="574" bestFit="1" customWidth="1"/>
    <col min="7171" max="7171" width="10.28515625" style="574" customWidth="1"/>
    <col min="7172" max="7172" width="8.42578125" style="574" customWidth="1"/>
    <col min="7173" max="7174" width="9.85546875" style="574" customWidth="1"/>
    <col min="7175" max="7175" width="10.85546875" style="574" customWidth="1"/>
    <col min="7176" max="7176" width="12.85546875" style="574" customWidth="1"/>
    <col min="7177" max="7188" width="12.140625" style="574" customWidth="1"/>
    <col min="7189" max="7424" width="9.140625" style="574"/>
    <col min="7425" max="7425" width="5.5703125" style="574" customWidth="1"/>
    <col min="7426" max="7426" width="21.5703125" style="574" bestFit="1" customWidth="1"/>
    <col min="7427" max="7427" width="10.28515625" style="574" customWidth="1"/>
    <col min="7428" max="7428" width="8.42578125" style="574" customWidth="1"/>
    <col min="7429" max="7430" width="9.85546875" style="574" customWidth="1"/>
    <col min="7431" max="7431" width="10.85546875" style="574" customWidth="1"/>
    <col min="7432" max="7432" width="12.85546875" style="574" customWidth="1"/>
    <col min="7433" max="7444" width="12.140625" style="574" customWidth="1"/>
    <col min="7445" max="7680" width="9.140625" style="574"/>
    <col min="7681" max="7681" width="5.5703125" style="574" customWidth="1"/>
    <col min="7682" max="7682" width="21.5703125" style="574" bestFit="1" customWidth="1"/>
    <col min="7683" max="7683" width="10.28515625" style="574" customWidth="1"/>
    <col min="7684" max="7684" width="8.42578125" style="574" customWidth="1"/>
    <col min="7685" max="7686" width="9.85546875" style="574" customWidth="1"/>
    <col min="7687" max="7687" width="10.85546875" style="574" customWidth="1"/>
    <col min="7688" max="7688" width="12.85546875" style="574" customWidth="1"/>
    <col min="7689" max="7700" width="12.140625" style="574" customWidth="1"/>
    <col min="7701" max="7936" width="9.140625" style="574"/>
    <col min="7937" max="7937" width="5.5703125" style="574" customWidth="1"/>
    <col min="7938" max="7938" width="21.5703125" style="574" bestFit="1" customWidth="1"/>
    <col min="7939" max="7939" width="10.28515625" style="574" customWidth="1"/>
    <col min="7940" max="7940" width="8.42578125" style="574" customWidth="1"/>
    <col min="7941" max="7942" width="9.85546875" style="574" customWidth="1"/>
    <col min="7943" max="7943" width="10.85546875" style="574" customWidth="1"/>
    <col min="7944" max="7944" width="12.85546875" style="574" customWidth="1"/>
    <col min="7945" max="7956" width="12.140625" style="574" customWidth="1"/>
    <col min="7957" max="8192" width="9.140625" style="574"/>
    <col min="8193" max="8193" width="5.5703125" style="574" customWidth="1"/>
    <col min="8194" max="8194" width="21.5703125" style="574" bestFit="1" customWidth="1"/>
    <col min="8195" max="8195" width="10.28515625" style="574" customWidth="1"/>
    <col min="8196" max="8196" width="8.42578125" style="574" customWidth="1"/>
    <col min="8197" max="8198" width="9.85546875" style="574" customWidth="1"/>
    <col min="8199" max="8199" width="10.85546875" style="574" customWidth="1"/>
    <col min="8200" max="8200" width="12.85546875" style="574" customWidth="1"/>
    <col min="8201" max="8212" width="12.140625" style="574" customWidth="1"/>
    <col min="8213" max="8448" width="9.140625" style="574"/>
    <col min="8449" max="8449" width="5.5703125" style="574" customWidth="1"/>
    <col min="8450" max="8450" width="21.5703125" style="574" bestFit="1" customWidth="1"/>
    <col min="8451" max="8451" width="10.28515625" style="574" customWidth="1"/>
    <col min="8452" max="8452" width="8.42578125" style="574" customWidth="1"/>
    <col min="8453" max="8454" width="9.85546875" style="574" customWidth="1"/>
    <col min="8455" max="8455" width="10.85546875" style="574" customWidth="1"/>
    <col min="8456" max="8456" width="12.85546875" style="574" customWidth="1"/>
    <col min="8457" max="8468" width="12.140625" style="574" customWidth="1"/>
    <col min="8469" max="8704" width="9.140625" style="574"/>
    <col min="8705" max="8705" width="5.5703125" style="574" customWidth="1"/>
    <col min="8706" max="8706" width="21.5703125" style="574" bestFit="1" customWidth="1"/>
    <col min="8707" max="8707" width="10.28515625" style="574" customWidth="1"/>
    <col min="8708" max="8708" width="8.42578125" style="574" customWidth="1"/>
    <col min="8709" max="8710" width="9.85546875" style="574" customWidth="1"/>
    <col min="8711" max="8711" width="10.85546875" style="574" customWidth="1"/>
    <col min="8712" max="8712" width="12.85546875" style="574" customWidth="1"/>
    <col min="8713" max="8724" width="12.140625" style="574" customWidth="1"/>
    <col min="8725" max="8960" width="9.140625" style="574"/>
    <col min="8961" max="8961" width="5.5703125" style="574" customWidth="1"/>
    <col min="8962" max="8962" width="21.5703125" style="574" bestFit="1" customWidth="1"/>
    <col min="8963" max="8963" width="10.28515625" style="574" customWidth="1"/>
    <col min="8964" max="8964" width="8.42578125" style="574" customWidth="1"/>
    <col min="8965" max="8966" width="9.85546875" style="574" customWidth="1"/>
    <col min="8967" max="8967" width="10.85546875" style="574" customWidth="1"/>
    <col min="8968" max="8968" width="12.85546875" style="574" customWidth="1"/>
    <col min="8969" max="8980" width="12.140625" style="574" customWidth="1"/>
    <col min="8981" max="9216" width="9.140625" style="574"/>
    <col min="9217" max="9217" width="5.5703125" style="574" customWidth="1"/>
    <col min="9218" max="9218" width="21.5703125" style="574" bestFit="1" customWidth="1"/>
    <col min="9219" max="9219" width="10.28515625" style="574" customWidth="1"/>
    <col min="9220" max="9220" width="8.42578125" style="574" customWidth="1"/>
    <col min="9221" max="9222" width="9.85546875" style="574" customWidth="1"/>
    <col min="9223" max="9223" width="10.85546875" style="574" customWidth="1"/>
    <col min="9224" max="9224" width="12.85546875" style="574" customWidth="1"/>
    <col min="9225" max="9236" width="12.140625" style="574" customWidth="1"/>
    <col min="9237" max="9472" width="9.140625" style="574"/>
    <col min="9473" max="9473" width="5.5703125" style="574" customWidth="1"/>
    <col min="9474" max="9474" width="21.5703125" style="574" bestFit="1" customWidth="1"/>
    <col min="9475" max="9475" width="10.28515625" style="574" customWidth="1"/>
    <col min="9476" max="9476" width="8.42578125" style="574" customWidth="1"/>
    <col min="9477" max="9478" width="9.85546875" style="574" customWidth="1"/>
    <col min="9479" max="9479" width="10.85546875" style="574" customWidth="1"/>
    <col min="9480" max="9480" width="12.85546875" style="574" customWidth="1"/>
    <col min="9481" max="9492" width="12.140625" style="574" customWidth="1"/>
    <col min="9493" max="9728" width="9.140625" style="574"/>
    <col min="9729" max="9729" width="5.5703125" style="574" customWidth="1"/>
    <col min="9730" max="9730" width="21.5703125" style="574" bestFit="1" customWidth="1"/>
    <col min="9731" max="9731" width="10.28515625" style="574" customWidth="1"/>
    <col min="9732" max="9732" width="8.42578125" style="574" customWidth="1"/>
    <col min="9733" max="9734" width="9.85546875" style="574" customWidth="1"/>
    <col min="9735" max="9735" width="10.85546875" style="574" customWidth="1"/>
    <col min="9736" max="9736" width="12.85546875" style="574" customWidth="1"/>
    <col min="9737" max="9748" width="12.140625" style="574" customWidth="1"/>
    <col min="9749" max="9984" width="9.140625" style="574"/>
    <col min="9985" max="9985" width="5.5703125" style="574" customWidth="1"/>
    <col min="9986" max="9986" width="21.5703125" style="574" bestFit="1" customWidth="1"/>
    <col min="9987" max="9987" width="10.28515625" style="574" customWidth="1"/>
    <col min="9988" max="9988" width="8.42578125" style="574" customWidth="1"/>
    <col min="9989" max="9990" width="9.85546875" style="574" customWidth="1"/>
    <col min="9991" max="9991" width="10.85546875" style="574" customWidth="1"/>
    <col min="9992" max="9992" width="12.85546875" style="574" customWidth="1"/>
    <col min="9993" max="10004" width="12.140625" style="574" customWidth="1"/>
    <col min="10005" max="10240" width="9.140625" style="574"/>
    <col min="10241" max="10241" width="5.5703125" style="574" customWidth="1"/>
    <col min="10242" max="10242" width="21.5703125" style="574" bestFit="1" customWidth="1"/>
    <col min="10243" max="10243" width="10.28515625" style="574" customWidth="1"/>
    <col min="10244" max="10244" width="8.42578125" style="574" customWidth="1"/>
    <col min="10245" max="10246" width="9.85546875" style="574" customWidth="1"/>
    <col min="10247" max="10247" width="10.85546875" style="574" customWidth="1"/>
    <col min="10248" max="10248" width="12.85546875" style="574" customWidth="1"/>
    <col min="10249" max="10260" width="12.140625" style="574" customWidth="1"/>
    <col min="10261" max="10496" width="9.140625" style="574"/>
    <col min="10497" max="10497" width="5.5703125" style="574" customWidth="1"/>
    <col min="10498" max="10498" width="21.5703125" style="574" bestFit="1" customWidth="1"/>
    <col min="10499" max="10499" width="10.28515625" style="574" customWidth="1"/>
    <col min="10500" max="10500" width="8.42578125" style="574" customWidth="1"/>
    <col min="10501" max="10502" width="9.85546875" style="574" customWidth="1"/>
    <col min="10503" max="10503" width="10.85546875" style="574" customWidth="1"/>
    <col min="10504" max="10504" width="12.85546875" style="574" customWidth="1"/>
    <col min="10505" max="10516" width="12.140625" style="574" customWidth="1"/>
    <col min="10517" max="10752" width="9.140625" style="574"/>
    <col min="10753" max="10753" width="5.5703125" style="574" customWidth="1"/>
    <col min="10754" max="10754" width="21.5703125" style="574" bestFit="1" customWidth="1"/>
    <col min="10755" max="10755" width="10.28515625" style="574" customWidth="1"/>
    <col min="10756" max="10756" width="8.42578125" style="574" customWidth="1"/>
    <col min="10757" max="10758" width="9.85546875" style="574" customWidth="1"/>
    <col min="10759" max="10759" width="10.85546875" style="574" customWidth="1"/>
    <col min="10760" max="10760" width="12.85546875" style="574" customWidth="1"/>
    <col min="10761" max="10772" width="12.140625" style="574" customWidth="1"/>
    <col min="10773" max="11008" width="9.140625" style="574"/>
    <col min="11009" max="11009" width="5.5703125" style="574" customWidth="1"/>
    <col min="11010" max="11010" width="21.5703125" style="574" bestFit="1" customWidth="1"/>
    <col min="11011" max="11011" width="10.28515625" style="574" customWidth="1"/>
    <col min="11012" max="11012" width="8.42578125" style="574" customWidth="1"/>
    <col min="11013" max="11014" width="9.85546875" style="574" customWidth="1"/>
    <col min="11015" max="11015" width="10.85546875" style="574" customWidth="1"/>
    <col min="11016" max="11016" width="12.85546875" style="574" customWidth="1"/>
    <col min="11017" max="11028" width="12.140625" style="574" customWidth="1"/>
    <col min="11029" max="11264" width="9.140625" style="574"/>
    <col min="11265" max="11265" width="5.5703125" style="574" customWidth="1"/>
    <col min="11266" max="11266" width="21.5703125" style="574" bestFit="1" customWidth="1"/>
    <col min="11267" max="11267" width="10.28515625" style="574" customWidth="1"/>
    <col min="11268" max="11268" width="8.42578125" style="574" customWidth="1"/>
    <col min="11269" max="11270" width="9.85546875" style="574" customWidth="1"/>
    <col min="11271" max="11271" width="10.85546875" style="574" customWidth="1"/>
    <col min="11272" max="11272" width="12.85546875" style="574" customWidth="1"/>
    <col min="11273" max="11284" width="12.140625" style="574" customWidth="1"/>
    <col min="11285" max="11520" width="9.140625" style="574"/>
    <col min="11521" max="11521" width="5.5703125" style="574" customWidth="1"/>
    <col min="11522" max="11522" width="21.5703125" style="574" bestFit="1" customWidth="1"/>
    <col min="11523" max="11523" width="10.28515625" style="574" customWidth="1"/>
    <col min="11524" max="11524" width="8.42578125" style="574" customWidth="1"/>
    <col min="11525" max="11526" width="9.85546875" style="574" customWidth="1"/>
    <col min="11527" max="11527" width="10.85546875" style="574" customWidth="1"/>
    <col min="11528" max="11528" width="12.85546875" style="574" customWidth="1"/>
    <col min="11529" max="11540" width="12.140625" style="574" customWidth="1"/>
    <col min="11541" max="11776" width="9.140625" style="574"/>
    <col min="11777" max="11777" width="5.5703125" style="574" customWidth="1"/>
    <col min="11778" max="11778" width="21.5703125" style="574" bestFit="1" customWidth="1"/>
    <col min="11779" max="11779" width="10.28515625" style="574" customWidth="1"/>
    <col min="11780" max="11780" width="8.42578125" style="574" customWidth="1"/>
    <col min="11781" max="11782" width="9.85546875" style="574" customWidth="1"/>
    <col min="11783" max="11783" width="10.85546875" style="574" customWidth="1"/>
    <col min="11784" max="11784" width="12.85546875" style="574" customWidth="1"/>
    <col min="11785" max="11796" width="12.140625" style="574" customWidth="1"/>
    <col min="11797" max="12032" width="9.140625" style="574"/>
    <col min="12033" max="12033" width="5.5703125" style="574" customWidth="1"/>
    <col min="12034" max="12034" width="21.5703125" style="574" bestFit="1" customWidth="1"/>
    <col min="12035" max="12035" width="10.28515625" style="574" customWidth="1"/>
    <col min="12036" max="12036" width="8.42578125" style="574" customWidth="1"/>
    <col min="12037" max="12038" width="9.85546875" style="574" customWidth="1"/>
    <col min="12039" max="12039" width="10.85546875" style="574" customWidth="1"/>
    <col min="12040" max="12040" width="12.85546875" style="574" customWidth="1"/>
    <col min="12041" max="12052" width="12.140625" style="574" customWidth="1"/>
    <col min="12053" max="12288" width="9.140625" style="574"/>
    <col min="12289" max="12289" width="5.5703125" style="574" customWidth="1"/>
    <col min="12290" max="12290" width="21.5703125" style="574" bestFit="1" customWidth="1"/>
    <col min="12291" max="12291" width="10.28515625" style="574" customWidth="1"/>
    <col min="12292" max="12292" width="8.42578125" style="574" customWidth="1"/>
    <col min="12293" max="12294" width="9.85546875" style="574" customWidth="1"/>
    <col min="12295" max="12295" width="10.85546875" style="574" customWidth="1"/>
    <col min="12296" max="12296" width="12.85546875" style="574" customWidth="1"/>
    <col min="12297" max="12308" width="12.140625" style="574" customWidth="1"/>
    <col min="12309" max="12544" width="9.140625" style="574"/>
    <col min="12545" max="12545" width="5.5703125" style="574" customWidth="1"/>
    <col min="12546" max="12546" width="21.5703125" style="574" bestFit="1" customWidth="1"/>
    <col min="12547" max="12547" width="10.28515625" style="574" customWidth="1"/>
    <col min="12548" max="12548" width="8.42578125" style="574" customWidth="1"/>
    <col min="12549" max="12550" width="9.85546875" style="574" customWidth="1"/>
    <col min="12551" max="12551" width="10.85546875" style="574" customWidth="1"/>
    <col min="12552" max="12552" width="12.85546875" style="574" customWidth="1"/>
    <col min="12553" max="12564" width="12.140625" style="574" customWidth="1"/>
    <col min="12565" max="12800" width="9.140625" style="574"/>
    <col min="12801" max="12801" width="5.5703125" style="574" customWidth="1"/>
    <col min="12802" max="12802" width="21.5703125" style="574" bestFit="1" customWidth="1"/>
    <col min="12803" max="12803" width="10.28515625" style="574" customWidth="1"/>
    <col min="12804" max="12804" width="8.42578125" style="574" customWidth="1"/>
    <col min="12805" max="12806" width="9.85546875" style="574" customWidth="1"/>
    <col min="12807" max="12807" width="10.85546875" style="574" customWidth="1"/>
    <col min="12808" max="12808" width="12.85546875" style="574" customWidth="1"/>
    <col min="12809" max="12820" width="12.140625" style="574" customWidth="1"/>
    <col min="12821" max="13056" width="9.140625" style="574"/>
    <col min="13057" max="13057" width="5.5703125" style="574" customWidth="1"/>
    <col min="13058" max="13058" width="21.5703125" style="574" bestFit="1" customWidth="1"/>
    <col min="13059" max="13059" width="10.28515625" style="574" customWidth="1"/>
    <col min="13060" max="13060" width="8.42578125" style="574" customWidth="1"/>
    <col min="13061" max="13062" width="9.85546875" style="574" customWidth="1"/>
    <col min="13063" max="13063" width="10.85546875" style="574" customWidth="1"/>
    <col min="13064" max="13064" width="12.85546875" style="574" customWidth="1"/>
    <col min="13065" max="13076" width="12.140625" style="574" customWidth="1"/>
    <col min="13077" max="13312" width="9.140625" style="574"/>
    <col min="13313" max="13313" width="5.5703125" style="574" customWidth="1"/>
    <col min="13314" max="13314" width="21.5703125" style="574" bestFit="1" customWidth="1"/>
    <col min="13315" max="13315" width="10.28515625" style="574" customWidth="1"/>
    <col min="13316" max="13316" width="8.42578125" style="574" customWidth="1"/>
    <col min="13317" max="13318" width="9.85546875" style="574" customWidth="1"/>
    <col min="13319" max="13319" width="10.85546875" style="574" customWidth="1"/>
    <col min="13320" max="13320" width="12.85546875" style="574" customWidth="1"/>
    <col min="13321" max="13332" width="12.140625" style="574" customWidth="1"/>
    <col min="13333" max="13568" width="9.140625" style="574"/>
    <col min="13569" max="13569" width="5.5703125" style="574" customWidth="1"/>
    <col min="13570" max="13570" width="21.5703125" style="574" bestFit="1" customWidth="1"/>
    <col min="13571" max="13571" width="10.28515625" style="574" customWidth="1"/>
    <col min="13572" max="13572" width="8.42578125" style="574" customWidth="1"/>
    <col min="13573" max="13574" width="9.85546875" style="574" customWidth="1"/>
    <col min="13575" max="13575" width="10.85546875" style="574" customWidth="1"/>
    <col min="13576" max="13576" width="12.85546875" style="574" customWidth="1"/>
    <col min="13577" max="13588" width="12.140625" style="574" customWidth="1"/>
    <col min="13589" max="13824" width="9.140625" style="574"/>
    <col min="13825" max="13825" width="5.5703125" style="574" customWidth="1"/>
    <col min="13826" max="13826" width="21.5703125" style="574" bestFit="1" customWidth="1"/>
    <col min="13827" max="13827" width="10.28515625" style="574" customWidth="1"/>
    <col min="13828" max="13828" width="8.42578125" style="574" customWidth="1"/>
    <col min="13829" max="13830" width="9.85546875" style="574" customWidth="1"/>
    <col min="13831" max="13831" width="10.85546875" style="574" customWidth="1"/>
    <col min="13832" max="13832" width="12.85546875" style="574" customWidth="1"/>
    <col min="13833" max="13844" width="12.140625" style="574" customWidth="1"/>
    <col min="13845" max="14080" width="9.140625" style="574"/>
    <col min="14081" max="14081" width="5.5703125" style="574" customWidth="1"/>
    <col min="14082" max="14082" width="21.5703125" style="574" bestFit="1" customWidth="1"/>
    <col min="14083" max="14083" width="10.28515625" style="574" customWidth="1"/>
    <col min="14084" max="14084" width="8.42578125" style="574" customWidth="1"/>
    <col min="14085" max="14086" width="9.85546875" style="574" customWidth="1"/>
    <col min="14087" max="14087" width="10.85546875" style="574" customWidth="1"/>
    <col min="14088" max="14088" width="12.85546875" style="574" customWidth="1"/>
    <col min="14089" max="14100" width="12.140625" style="574" customWidth="1"/>
    <col min="14101" max="14336" width="9.140625" style="574"/>
    <col min="14337" max="14337" width="5.5703125" style="574" customWidth="1"/>
    <col min="14338" max="14338" width="21.5703125" style="574" bestFit="1" customWidth="1"/>
    <col min="14339" max="14339" width="10.28515625" style="574" customWidth="1"/>
    <col min="14340" max="14340" width="8.42578125" style="574" customWidth="1"/>
    <col min="14341" max="14342" width="9.85546875" style="574" customWidth="1"/>
    <col min="14343" max="14343" width="10.85546875" style="574" customWidth="1"/>
    <col min="14344" max="14344" width="12.85546875" style="574" customWidth="1"/>
    <col min="14345" max="14356" width="12.140625" style="574" customWidth="1"/>
    <col min="14357" max="14592" width="9.140625" style="574"/>
    <col min="14593" max="14593" width="5.5703125" style="574" customWidth="1"/>
    <col min="14594" max="14594" width="21.5703125" style="574" bestFit="1" customWidth="1"/>
    <col min="14595" max="14595" width="10.28515625" style="574" customWidth="1"/>
    <col min="14596" max="14596" width="8.42578125" style="574" customWidth="1"/>
    <col min="14597" max="14598" width="9.85546875" style="574" customWidth="1"/>
    <col min="14599" max="14599" width="10.85546875" style="574" customWidth="1"/>
    <col min="14600" max="14600" width="12.85546875" style="574" customWidth="1"/>
    <col min="14601" max="14612" width="12.140625" style="574" customWidth="1"/>
    <col min="14613" max="14848" width="9.140625" style="574"/>
    <col min="14849" max="14849" width="5.5703125" style="574" customWidth="1"/>
    <col min="14850" max="14850" width="21.5703125" style="574" bestFit="1" customWidth="1"/>
    <col min="14851" max="14851" width="10.28515625" style="574" customWidth="1"/>
    <col min="14852" max="14852" width="8.42578125" style="574" customWidth="1"/>
    <col min="14853" max="14854" width="9.85546875" style="574" customWidth="1"/>
    <col min="14855" max="14855" width="10.85546875" style="574" customWidth="1"/>
    <col min="14856" max="14856" width="12.85546875" style="574" customWidth="1"/>
    <col min="14857" max="14868" width="12.140625" style="574" customWidth="1"/>
    <col min="14869" max="15104" width="9.140625" style="574"/>
    <col min="15105" max="15105" width="5.5703125" style="574" customWidth="1"/>
    <col min="15106" max="15106" width="21.5703125" style="574" bestFit="1" customWidth="1"/>
    <col min="15107" max="15107" width="10.28515625" style="574" customWidth="1"/>
    <col min="15108" max="15108" width="8.42578125" style="574" customWidth="1"/>
    <col min="15109" max="15110" width="9.85546875" style="574" customWidth="1"/>
    <col min="15111" max="15111" width="10.85546875" style="574" customWidth="1"/>
    <col min="15112" max="15112" width="12.85546875" style="574" customWidth="1"/>
    <col min="15113" max="15124" width="12.140625" style="574" customWidth="1"/>
    <col min="15125" max="15360" width="9.140625" style="574"/>
    <col min="15361" max="15361" width="5.5703125" style="574" customWidth="1"/>
    <col min="15362" max="15362" width="21.5703125" style="574" bestFit="1" customWidth="1"/>
    <col min="15363" max="15363" width="10.28515625" style="574" customWidth="1"/>
    <col min="15364" max="15364" width="8.42578125" style="574" customWidth="1"/>
    <col min="15365" max="15366" width="9.85546875" style="574" customWidth="1"/>
    <col min="15367" max="15367" width="10.85546875" style="574" customWidth="1"/>
    <col min="15368" max="15368" width="12.85546875" style="574" customWidth="1"/>
    <col min="15369" max="15380" width="12.140625" style="574" customWidth="1"/>
    <col min="15381" max="15616" width="9.140625" style="574"/>
    <col min="15617" max="15617" width="5.5703125" style="574" customWidth="1"/>
    <col min="15618" max="15618" width="21.5703125" style="574" bestFit="1" customWidth="1"/>
    <col min="15619" max="15619" width="10.28515625" style="574" customWidth="1"/>
    <col min="15620" max="15620" width="8.42578125" style="574" customWidth="1"/>
    <col min="15621" max="15622" width="9.85546875" style="574" customWidth="1"/>
    <col min="15623" max="15623" width="10.85546875" style="574" customWidth="1"/>
    <col min="15624" max="15624" width="12.85546875" style="574" customWidth="1"/>
    <col min="15625" max="15636" width="12.140625" style="574" customWidth="1"/>
    <col min="15637" max="15872" width="9.140625" style="574"/>
    <col min="15873" max="15873" width="5.5703125" style="574" customWidth="1"/>
    <col min="15874" max="15874" width="21.5703125" style="574" bestFit="1" customWidth="1"/>
    <col min="15875" max="15875" width="10.28515625" style="574" customWidth="1"/>
    <col min="15876" max="15876" width="8.42578125" style="574" customWidth="1"/>
    <col min="15877" max="15878" width="9.85546875" style="574" customWidth="1"/>
    <col min="15879" max="15879" width="10.85546875" style="574" customWidth="1"/>
    <col min="15880" max="15880" width="12.85546875" style="574" customWidth="1"/>
    <col min="15881" max="15892" width="12.140625" style="574" customWidth="1"/>
    <col min="15893" max="16128" width="9.140625" style="574"/>
    <col min="16129" max="16129" width="5.5703125" style="574" customWidth="1"/>
    <col min="16130" max="16130" width="21.5703125" style="574" bestFit="1" customWidth="1"/>
    <col min="16131" max="16131" width="10.28515625" style="574" customWidth="1"/>
    <col min="16132" max="16132" width="8.42578125" style="574" customWidth="1"/>
    <col min="16133" max="16134" width="9.85546875" style="574" customWidth="1"/>
    <col min="16135" max="16135" width="10.85546875" style="574" customWidth="1"/>
    <col min="16136" max="16136" width="12.85546875" style="574" customWidth="1"/>
    <col min="16137" max="16148" width="12.140625" style="574" customWidth="1"/>
    <col min="16149" max="16384" width="9.140625" style="574"/>
  </cols>
  <sheetData>
    <row r="1" spans="1:20" ht="12.75" customHeight="1" x14ac:dyDescent="0.2">
      <c r="G1" s="1123"/>
      <c r="H1" s="1123"/>
      <c r="I1" s="1123"/>
      <c r="S1" s="1124" t="s">
        <v>530</v>
      </c>
      <c r="T1" s="1124"/>
    </row>
    <row r="2" spans="1:20" ht="15.75" x14ac:dyDescent="0.25">
      <c r="A2" s="1125" t="s">
        <v>0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125"/>
    </row>
    <row r="3" spans="1:20" ht="18" x14ac:dyDescent="0.25">
      <c r="A3" s="1126" t="s">
        <v>740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</row>
    <row r="4" spans="1:20" ht="12.75" customHeight="1" x14ac:dyDescent="0.2">
      <c r="A4" s="1127" t="s">
        <v>749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</row>
    <row r="5" spans="1:20" s="575" customFormat="1" ht="7.5" customHeight="1" x14ac:dyDescent="0.2">
      <c r="A5" s="1127"/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</row>
    <row r="6" spans="1:20" x14ac:dyDescent="0.2">
      <c r="A6" s="1122"/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</row>
    <row r="7" spans="1:20" ht="15.75" x14ac:dyDescent="0.25">
      <c r="A7" s="1129" t="s">
        <v>920</v>
      </c>
      <c r="B7" s="1129"/>
      <c r="H7" s="576"/>
      <c r="L7" s="1113"/>
      <c r="M7" s="1113"/>
      <c r="N7" s="1113"/>
      <c r="O7" s="1113"/>
      <c r="P7" s="1113"/>
      <c r="Q7" s="1113"/>
      <c r="R7" s="1113"/>
      <c r="S7" s="1113"/>
      <c r="T7" s="1113"/>
    </row>
    <row r="8" spans="1:20" s="595" customFormat="1" ht="52.5" customHeight="1" x14ac:dyDescent="0.2">
      <c r="A8" s="1130" t="s">
        <v>2</v>
      </c>
      <c r="B8" s="1130" t="s">
        <v>3</v>
      </c>
      <c r="C8" s="1130" t="s">
        <v>483</v>
      </c>
      <c r="D8" s="1130"/>
      <c r="E8" s="1130"/>
      <c r="F8" s="1130"/>
      <c r="G8" s="1130"/>
      <c r="H8" s="1130" t="s">
        <v>85</v>
      </c>
      <c r="I8" s="1130" t="s">
        <v>86</v>
      </c>
      <c r="J8" s="1130"/>
      <c r="K8" s="1130"/>
      <c r="L8" s="1130"/>
      <c r="M8" s="1130" t="s">
        <v>646</v>
      </c>
      <c r="N8" s="1130"/>
      <c r="O8" s="1130"/>
      <c r="P8" s="1130"/>
      <c r="Q8" s="1130"/>
      <c r="R8" s="1130"/>
      <c r="S8" s="1130" t="s">
        <v>702</v>
      </c>
      <c r="T8" s="1130"/>
    </row>
    <row r="9" spans="1:20" s="595" customFormat="1" ht="72" customHeight="1" x14ac:dyDescent="0.2">
      <c r="A9" s="1130"/>
      <c r="B9" s="1130"/>
      <c r="C9" s="596" t="s">
        <v>5</v>
      </c>
      <c r="D9" s="596" t="s">
        <v>6</v>
      </c>
      <c r="E9" s="596" t="s">
        <v>353</v>
      </c>
      <c r="F9" s="596" t="s">
        <v>102</v>
      </c>
      <c r="G9" s="596" t="s">
        <v>222</v>
      </c>
      <c r="H9" s="1130"/>
      <c r="I9" s="596" t="s">
        <v>91</v>
      </c>
      <c r="J9" s="596" t="s">
        <v>21</v>
      </c>
      <c r="K9" s="596" t="s">
        <v>42</v>
      </c>
      <c r="L9" s="596" t="s">
        <v>681</v>
      </c>
      <c r="M9" s="596" t="s">
        <v>18</v>
      </c>
      <c r="N9" s="596" t="s">
        <v>943</v>
      </c>
      <c r="O9" s="596" t="s">
        <v>944</v>
      </c>
      <c r="P9" s="596" t="s">
        <v>649</v>
      </c>
      <c r="Q9" s="596" t="s">
        <v>650</v>
      </c>
      <c r="R9" s="596" t="s">
        <v>651</v>
      </c>
      <c r="S9" s="596" t="s">
        <v>708</v>
      </c>
      <c r="T9" s="596" t="s">
        <v>706</v>
      </c>
    </row>
    <row r="10" spans="1:20" s="598" customFormat="1" x14ac:dyDescent="0.2">
      <c r="A10" s="597">
        <v>1</v>
      </c>
      <c r="B10" s="597">
        <v>2</v>
      </c>
      <c r="C10" s="597">
        <v>3</v>
      </c>
      <c r="D10" s="597">
        <v>4</v>
      </c>
      <c r="E10" s="597">
        <v>5</v>
      </c>
      <c r="F10" s="597">
        <v>6</v>
      </c>
      <c r="G10" s="597">
        <v>7</v>
      </c>
      <c r="H10" s="597">
        <v>8</v>
      </c>
      <c r="I10" s="597">
        <v>9</v>
      </c>
      <c r="J10" s="597">
        <v>10</v>
      </c>
      <c r="K10" s="597">
        <v>11</v>
      </c>
      <c r="L10" s="597">
        <v>12</v>
      </c>
      <c r="M10" s="597">
        <v>13</v>
      </c>
      <c r="N10" s="597">
        <v>14</v>
      </c>
      <c r="O10" s="597">
        <v>15</v>
      </c>
      <c r="P10" s="597">
        <v>16</v>
      </c>
      <c r="Q10" s="597">
        <v>17</v>
      </c>
      <c r="R10" s="597">
        <v>18</v>
      </c>
      <c r="S10" s="597">
        <v>19</v>
      </c>
      <c r="T10" s="597">
        <v>20</v>
      </c>
    </row>
    <row r="11" spans="1:20" s="586" customFormat="1" ht="18.75" customHeight="1" x14ac:dyDescent="0.25">
      <c r="A11" s="581">
        <v>1</v>
      </c>
      <c r="B11" s="582" t="s">
        <v>896</v>
      </c>
      <c r="C11" s="583">
        <v>49408</v>
      </c>
      <c r="D11" s="583">
        <v>13592</v>
      </c>
      <c r="E11" s="582">
        <v>0</v>
      </c>
      <c r="F11" s="583">
        <v>80</v>
      </c>
      <c r="G11" s="583">
        <f>SUM(C11:F11)</f>
        <v>63080</v>
      </c>
      <c r="H11" s="582">
        <v>253</v>
      </c>
      <c r="I11" s="599">
        <f>J11</f>
        <v>2393.886</v>
      </c>
      <c r="J11" s="599">
        <f>G11*H11*0.00015</f>
        <v>2393.886</v>
      </c>
      <c r="K11" s="582"/>
      <c r="L11" s="582"/>
      <c r="M11" s="599">
        <f>N11+O11</f>
        <v>478.77719999999999</v>
      </c>
      <c r="N11" s="599">
        <f>G11*H11*0.000015</f>
        <v>239.3886</v>
      </c>
      <c r="O11" s="599">
        <f>G11*H11*0.000015</f>
        <v>239.3886</v>
      </c>
      <c r="P11" s="582"/>
      <c r="Q11" s="582"/>
      <c r="R11" s="582"/>
      <c r="S11" s="585">
        <v>117.5</v>
      </c>
      <c r="T11" s="584">
        <f>I11*1175/100000</f>
        <v>28.1281605</v>
      </c>
    </row>
    <row r="12" spans="1:20" s="586" customFormat="1" ht="18.75" customHeight="1" x14ac:dyDescent="0.25">
      <c r="A12" s="581">
        <v>2</v>
      </c>
      <c r="B12" s="582" t="s">
        <v>897</v>
      </c>
      <c r="C12" s="583">
        <v>11677</v>
      </c>
      <c r="D12" s="583">
        <v>5878</v>
      </c>
      <c r="E12" s="582">
        <v>0</v>
      </c>
      <c r="F12" s="583">
        <v>0</v>
      </c>
      <c r="G12" s="583">
        <f t="shared" ref="G12:G34" si="0">SUM(C12:F12)</f>
        <v>17555</v>
      </c>
      <c r="H12" s="582">
        <v>253</v>
      </c>
      <c r="I12" s="599">
        <f t="shared" ref="I12:I34" si="1">J12</f>
        <v>666.21224999999993</v>
      </c>
      <c r="J12" s="599">
        <f t="shared" ref="J12:J34" si="2">G12*H12*0.00015</f>
        <v>666.21224999999993</v>
      </c>
      <c r="K12" s="582"/>
      <c r="L12" s="582"/>
      <c r="M12" s="599">
        <f t="shared" ref="M12:M34" si="3">N12+O12</f>
        <v>133.24244999999999</v>
      </c>
      <c r="N12" s="599">
        <f t="shared" ref="N12:N34" si="4">G12*H12*0.000015</f>
        <v>66.621224999999995</v>
      </c>
      <c r="O12" s="599">
        <f t="shared" ref="O12:O34" si="5">G12*H12*0.000015</f>
        <v>66.621224999999995</v>
      </c>
      <c r="P12" s="582"/>
      <c r="Q12" s="582"/>
      <c r="R12" s="582"/>
      <c r="S12" s="585">
        <v>117.5</v>
      </c>
      <c r="T12" s="584">
        <f t="shared" ref="T12:T34" si="6">I12*1175/100000</f>
        <v>7.8279939374999996</v>
      </c>
    </row>
    <row r="13" spans="1:20" s="586" customFormat="1" ht="18.75" customHeight="1" x14ac:dyDescent="0.25">
      <c r="A13" s="581">
        <v>3</v>
      </c>
      <c r="B13" s="582" t="s">
        <v>898</v>
      </c>
      <c r="C13" s="583">
        <v>15005</v>
      </c>
      <c r="D13" s="583">
        <v>1088</v>
      </c>
      <c r="E13" s="582">
        <v>0</v>
      </c>
      <c r="F13" s="583">
        <v>0</v>
      </c>
      <c r="G13" s="583">
        <f t="shared" si="0"/>
        <v>16093</v>
      </c>
      <c r="H13" s="582">
        <v>253</v>
      </c>
      <c r="I13" s="599">
        <f t="shared" si="1"/>
        <v>610.72934999999995</v>
      </c>
      <c r="J13" s="599">
        <f t="shared" si="2"/>
        <v>610.72934999999995</v>
      </c>
      <c r="K13" s="582"/>
      <c r="L13" s="582"/>
      <c r="M13" s="599">
        <f t="shared" si="3"/>
        <v>122.14587</v>
      </c>
      <c r="N13" s="599">
        <f t="shared" si="4"/>
        <v>61.072935000000001</v>
      </c>
      <c r="O13" s="599">
        <f t="shared" si="5"/>
        <v>61.072935000000001</v>
      </c>
      <c r="P13" s="582"/>
      <c r="Q13" s="582"/>
      <c r="R13" s="582"/>
      <c r="S13" s="585">
        <v>117.5</v>
      </c>
      <c r="T13" s="584">
        <f t="shared" si="6"/>
        <v>7.1760698624999995</v>
      </c>
    </row>
    <row r="14" spans="1:20" s="586" customFormat="1" ht="18.75" customHeight="1" x14ac:dyDescent="0.25">
      <c r="A14" s="581">
        <v>4</v>
      </c>
      <c r="B14" s="582" t="s">
        <v>899</v>
      </c>
      <c r="C14" s="583">
        <v>33220</v>
      </c>
      <c r="D14" s="583">
        <v>7947</v>
      </c>
      <c r="E14" s="582">
        <v>0</v>
      </c>
      <c r="F14" s="583">
        <v>71</v>
      </c>
      <c r="G14" s="583">
        <f t="shared" si="0"/>
        <v>41238</v>
      </c>
      <c r="H14" s="582">
        <v>253</v>
      </c>
      <c r="I14" s="599">
        <f t="shared" si="1"/>
        <v>1564.9820999999999</v>
      </c>
      <c r="J14" s="599">
        <f t="shared" si="2"/>
        <v>1564.9820999999999</v>
      </c>
      <c r="K14" s="582"/>
      <c r="L14" s="582"/>
      <c r="M14" s="599">
        <f t="shared" si="3"/>
        <v>312.99642</v>
      </c>
      <c r="N14" s="599">
        <f t="shared" si="4"/>
        <v>156.49821</v>
      </c>
      <c r="O14" s="599">
        <f t="shared" si="5"/>
        <v>156.49821</v>
      </c>
      <c r="P14" s="582"/>
      <c r="Q14" s="582"/>
      <c r="R14" s="582"/>
      <c r="S14" s="585">
        <v>117.5</v>
      </c>
      <c r="T14" s="584">
        <f t="shared" si="6"/>
        <v>18.388539675000001</v>
      </c>
    </row>
    <row r="15" spans="1:20" s="586" customFormat="1" ht="18.75" customHeight="1" x14ac:dyDescent="0.25">
      <c r="A15" s="581">
        <v>5</v>
      </c>
      <c r="B15" s="582" t="s">
        <v>900</v>
      </c>
      <c r="C15" s="583">
        <v>13381</v>
      </c>
      <c r="D15" s="583">
        <v>9787</v>
      </c>
      <c r="E15" s="582">
        <v>0</v>
      </c>
      <c r="F15" s="583">
        <v>0</v>
      </c>
      <c r="G15" s="583">
        <f t="shared" si="0"/>
        <v>23168</v>
      </c>
      <c r="H15" s="582">
        <v>253</v>
      </c>
      <c r="I15" s="599">
        <f t="shared" si="1"/>
        <v>879.22559999999987</v>
      </c>
      <c r="J15" s="599">
        <f t="shared" si="2"/>
        <v>879.22559999999987</v>
      </c>
      <c r="K15" s="582"/>
      <c r="L15" s="582"/>
      <c r="M15" s="599">
        <f t="shared" si="3"/>
        <v>175.84512000000001</v>
      </c>
      <c r="N15" s="599">
        <f t="shared" si="4"/>
        <v>87.922560000000004</v>
      </c>
      <c r="O15" s="599">
        <f t="shared" si="5"/>
        <v>87.922560000000004</v>
      </c>
      <c r="P15" s="582"/>
      <c r="Q15" s="582"/>
      <c r="R15" s="582"/>
      <c r="S15" s="585">
        <v>117.5</v>
      </c>
      <c r="T15" s="584">
        <f t="shared" si="6"/>
        <v>10.330900799999998</v>
      </c>
    </row>
    <row r="16" spans="1:20" s="586" customFormat="1" ht="18.75" customHeight="1" x14ac:dyDescent="0.25">
      <c r="A16" s="581">
        <v>6</v>
      </c>
      <c r="B16" s="582" t="s">
        <v>901</v>
      </c>
      <c r="C16" s="583">
        <v>42851</v>
      </c>
      <c r="D16" s="583">
        <v>7374</v>
      </c>
      <c r="E16" s="582">
        <v>0</v>
      </c>
      <c r="F16" s="583">
        <v>21</v>
      </c>
      <c r="G16" s="583">
        <f t="shared" si="0"/>
        <v>50246</v>
      </c>
      <c r="H16" s="582">
        <v>253</v>
      </c>
      <c r="I16" s="599">
        <f t="shared" si="1"/>
        <v>1906.8356999999999</v>
      </c>
      <c r="J16" s="599">
        <f t="shared" si="2"/>
        <v>1906.8356999999999</v>
      </c>
      <c r="K16" s="582"/>
      <c r="L16" s="582"/>
      <c r="M16" s="599">
        <f t="shared" si="3"/>
        <v>381.36714000000001</v>
      </c>
      <c r="N16" s="599">
        <f t="shared" si="4"/>
        <v>190.68357</v>
      </c>
      <c r="O16" s="599">
        <f t="shared" si="5"/>
        <v>190.68357</v>
      </c>
      <c r="P16" s="582"/>
      <c r="Q16" s="582"/>
      <c r="R16" s="582"/>
      <c r="S16" s="585">
        <v>117.5</v>
      </c>
      <c r="T16" s="584">
        <f t="shared" si="6"/>
        <v>22.405319474999999</v>
      </c>
    </row>
    <row r="17" spans="1:20" s="586" customFormat="1" ht="18.75" customHeight="1" x14ac:dyDescent="0.25">
      <c r="A17" s="581">
        <v>7</v>
      </c>
      <c r="B17" s="582" t="s">
        <v>902</v>
      </c>
      <c r="C17" s="583">
        <v>32016</v>
      </c>
      <c r="D17" s="583">
        <v>0</v>
      </c>
      <c r="E17" s="582">
        <v>0</v>
      </c>
      <c r="F17" s="583">
        <v>0</v>
      </c>
      <c r="G17" s="583">
        <f t="shared" si="0"/>
        <v>32016</v>
      </c>
      <c r="H17" s="582">
        <v>253</v>
      </c>
      <c r="I17" s="599">
        <f t="shared" si="1"/>
        <v>1215.0071999999998</v>
      </c>
      <c r="J17" s="599">
        <f t="shared" si="2"/>
        <v>1215.0071999999998</v>
      </c>
      <c r="K17" s="582"/>
      <c r="L17" s="582"/>
      <c r="M17" s="599">
        <f t="shared" si="3"/>
        <v>243.00144</v>
      </c>
      <c r="N17" s="599">
        <f t="shared" si="4"/>
        <v>121.50072</v>
      </c>
      <c r="O17" s="599">
        <f t="shared" si="5"/>
        <v>121.50072</v>
      </c>
      <c r="P17" s="582"/>
      <c r="Q17" s="582"/>
      <c r="R17" s="582"/>
      <c r="S17" s="585">
        <v>117.5</v>
      </c>
      <c r="T17" s="584">
        <f t="shared" si="6"/>
        <v>14.276334599999997</v>
      </c>
    </row>
    <row r="18" spans="1:20" s="586" customFormat="1" ht="18.75" customHeight="1" x14ac:dyDescent="0.25">
      <c r="A18" s="581">
        <v>8</v>
      </c>
      <c r="B18" s="582" t="s">
        <v>903</v>
      </c>
      <c r="C18" s="583">
        <v>50433</v>
      </c>
      <c r="D18" s="583">
        <v>5003</v>
      </c>
      <c r="E18" s="582">
        <v>0</v>
      </c>
      <c r="F18" s="583">
        <v>49</v>
      </c>
      <c r="G18" s="583">
        <f t="shared" si="0"/>
        <v>55485</v>
      </c>
      <c r="H18" s="582">
        <v>253</v>
      </c>
      <c r="I18" s="599">
        <f t="shared" si="1"/>
        <v>2105.6557499999999</v>
      </c>
      <c r="J18" s="599">
        <f t="shared" si="2"/>
        <v>2105.6557499999999</v>
      </c>
      <c r="K18" s="582"/>
      <c r="L18" s="582"/>
      <c r="M18" s="599">
        <f t="shared" si="3"/>
        <v>421.13114999999999</v>
      </c>
      <c r="N18" s="599">
        <f t="shared" si="4"/>
        <v>210.565575</v>
      </c>
      <c r="O18" s="599">
        <f t="shared" si="5"/>
        <v>210.565575</v>
      </c>
      <c r="P18" s="582"/>
      <c r="Q18" s="582"/>
      <c r="R18" s="582"/>
      <c r="S18" s="585">
        <v>117.5</v>
      </c>
      <c r="T18" s="584">
        <f t="shared" si="6"/>
        <v>24.741455062500002</v>
      </c>
    </row>
    <row r="19" spans="1:20" s="586" customFormat="1" ht="18.75" customHeight="1" x14ac:dyDescent="0.25">
      <c r="A19" s="581">
        <v>9</v>
      </c>
      <c r="B19" s="582" t="s">
        <v>904</v>
      </c>
      <c r="C19" s="583">
        <v>83865</v>
      </c>
      <c r="D19" s="583">
        <v>898</v>
      </c>
      <c r="E19" s="582">
        <v>0</v>
      </c>
      <c r="F19" s="583">
        <v>466</v>
      </c>
      <c r="G19" s="583">
        <f t="shared" si="0"/>
        <v>85229</v>
      </c>
      <c r="H19" s="582">
        <v>253</v>
      </c>
      <c r="I19" s="599">
        <f t="shared" si="1"/>
        <v>3234.4405499999998</v>
      </c>
      <c r="J19" s="599">
        <f t="shared" si="2"/>
        <v>3234.4405499999998</v>
      </c>
      <c r="K19" s="582"/>
      <c r="L19" s="582"/>
      <c r="M19" s="599">
        <f t="shared" si="3"/>
        <v>646.88810999999998</v>
      </c>
      <c r="N19" s="599">
        <f t="shared" si="4"/>
        <v>323.44405499999999</v>
      </c>
      <c r="O19" s="599">
        <f t="shared" si="5"/>
        <v>323.44405499999999</v>
      </c>
      <c r="P19" s="582"/>
      <c r="Q19" s="582"/>
      <c r="R19" s="582"/>
      <c r="S19" s="585">
        <v>117.5</v>
      </c>
      <c r="T19" s="584">
        <f t="shared" si="6"/>
        <v>38.004676462500001</v>
      </c>
    </row>
    <row r="20" spans="1:20" s="586" customFormat="1" ht="18.75" customHeight="1" x14ac:dyDescent="0.25">
      <c r="A20" s="581">
        <v>10</v>
      </c>
      <c r="B20" s="582" t="s">
        <v>905</v>
      </c>
      <c r="C20" s="583">
        <v>25131</v>
      </c>
      <c r="D20" s="583">
        <v>1999</v>
      </c>
      <c r="E20" s="582">
        <v>0</v>
      </c>
      <c r="F20" s="583">
        <v>0</v>
      </c>
      <c r="G20" s="583">
        <f t="shared" si="0"/>
        <v>27130</v>
      </c>
      <c r="H20" s="582">
        <v>253</v>
      </c>
      <c r="I20" s="599">
        <f t="shared" si="1"/>
        <v>1029.5835</v>
      </c>
      <c r="J20" s="599">
        <f t="shared" si="2"/>
        <v>1029.5835</v>
      </c>
      <c r="K20" s="582"/>
      <c r="L20" s="582"/>
      <c r="M20" s="599">
        <f t="shared" si="3"/>
        <v>205.91669999999999</v>
      </c>
      <c r="N20" s="599">
        <f t="shared" si="4"/>
        <v>102.95835</v>
      </c>
      <c r="O20" s="599">
        <f t="shared" si="5"/>
        <v>102.95835</v>
      </c>
      <c r="P20" s="582"/>
      <c r="Q20" s="582"/>
      <c r="R20" s="582"/>
      <c r="S20" s="585">
        <v>117.5</v>
      </c>
      <c r="T20" s="584">
        <f t="shared" si="6"/>
        <v>12.097606125</v>
      </c>
    </row>
    <row r="21" spans="1:20" s="586" customFormat="1" ht="18.75" customHeight="1" x14ac:dyDescent="0.25">
      <c r="A21" s="581">
        <v>11</v>
      </c>
      <c r="B21" s="582" t="s">
        <v>906</v>
      </c>
      <c r="C21" s="583">
        <v>44601</v>
      </c>
      <c r="D21" s="583">
        <v>620</v>
      </c>
      <c r="E21" s="582">
        <v>0</v>
      </c>
      <c r="F21" s="583">
        <v>60</v>
      </c>
      <c r="G21" s="583">
        <f t="shared" si="0"/>
        <v>45281</v>
      </c>
      <c r="H21" s="582">
        <v>253</v>
      </c>
      <c r="I21" s="599">
        <f t="shared" si="1"/>
        <v>1718.4139499999999</v>
      </c>
      <c r="J21" s="599">
        <f t="shared" si="2"/>
        <v>1718.4139499999999</v>
      </c>
      <c r="K21" s="582"/>
      <c r="L21" s="582"/>
      <c r="M21" s="599">
        <f t="shared" si="3"/>
        <v>343.68279000000001</v>
      </c>
      <c r="N21" s="599">
        <f t="shared" si="4"/>
        <v>171.84139500000001</v>
      </c>
      <c r="O21" s="599">
        <f t="shared" si="5"/>
        <v>171.84139500000001</v>
      </c>
      <c r="P21" s="582"/>
      <c r="Q21" s="582"/>
      <c r="R21" s="582"/>
      <c r="S21" s="585">
        <v>117.5</v>
      </c>
      <c r="T21" s="584">
        <f t="shared" si="6"/>
        <v>20.191363912499998</v>
      </c>
    </row>
    <row r="22" spans="1:20" s="586" customFormat="1" ht="18.75" customHeight="1" x14ac:dyDescent="0.25">
      <c r="A22" s="581">
        <v>12</v>
      </c>
      <c r="B22" s="582" t="s">
        <v>907</v>
      </c>
      <c r="C22" s="583">
        <v>47610</v>
      </c>
      <c r="D22" s="583">
        <v>2741</v>
      </c>
      <c r="E22" s="582">
        <v>0</v>
      </c>
      <c r="F22" s="583">
        <v>290</v>
      </c>
      <c r="G22" s="583">
        <f t="shared" si="0"/>
        <v>50641</v>
      </c>
      <c r="H22" s="582">
        <v>253</v>
      </c>
      <c r="I22" s="599">
        <f t="shared" si="1"/>
        <v>1921.8259499999999</v>
      </c>
      <c r="J22" s="599">
        <f t="shared" si="2"/>
        <v>1921.8259499999999</v>
      </c>
      <c r="K22" s="582"/>
      <c r="L22" s="582"/>
      <c r="M22" s="599">
        <f t="shared" si="3"/>
        <v>384.36518999999998</v>
      </c>
      <c r="N22" s="599">
        <f t="shared" si="4"/>
        <v>192.18259499999999</v>
      </c>
      <c r="O22" s="599">
        <f t="shared" si="5"/>
        <v>192.18259499999999</v>
      </c>
      <c r="P22" s="582"/>
      <c r="Q22" s="582"/>
      <c r="R22" s="582"/>
      <c r="S22" s="585">
        <v>117.5</v>
      </c>
      <c r="T22" s="584">
        <f t="shared" si="6"/>
        <v>22.5814549125</v>
      </c>
    </row>
    <row r="23" spans="1:20" s="586" customFormat="1" ht="18.75" customHeight="1" x14ac:dyDescent="0.25">
      <c r="A23" s="581">
        <v>13</v>
      </c>
      <c r="B23" s="582" t="s">
        <v>908</v>
      </c>
      <c r="C23" s="583">
        <v>24022</v>
      </c>
      <c r="D23" s="583">
        <v>364</v>
      </c>
      <c r="E23" s="582">
        <v>0</v>
      </c>
      <c r="F23" s="583">
        <v>83</v>
      </c>
      <c r="G23" s="583">
        <f t="shared" si="0"/>
        <v>24469</v>
      </c>
      <c r="H23" s="582">
        <v>253</v>
      </c>
      <c r="I23" s="599">
        <f t="shared" si="1"/>
        <v>928.59854999999993</v>
      </c>
      <c r="J23" s="599">
        <f t="shared" si="2"/>
        <v>928.59854999999993</v>
      </c>
      <c r="K23" s="582"/>
      <c r="L23" s="582"/>
      <c r="M23" s="599">
        <f t="shared" si="3"/>
        <v>185.71970999999999</v>
      </c>
      <c r="N23" s="599">
        <f t="shared" si="4"/>
        <v>92.859854999999996</v>
      </c>
      <c r="O23" s="599">
        <f t="shared" si="5"/>
        <v>92.859854999999996</v>
      </c>
      <c r="P23" s="582"/>
      <c r="Q23" s="582"/>
      <c r="R23" s="582"/>
      <c r="S23" s="585">
        <v>117.5</v>
      </c>
      <c r="T23" s="584">
        <f t="shared" si="6"/>
        <v>10.911032962499998</v>
      </c>
    </row>
    <row r="24" spans="1:20" s="586" customFormat="1" ht="18.75" customHeight="1" x14ac:dyDescent="0.25">
      <c r="A24" s="581">
        <v>14</v>
      </c>
      <c r="B24" s="582" t="s">
        <v>909</v>
      </c>
      <c r="C24" s="583">
        <v>24211</v>
      </c>
      <c r="D24" s="583">
        <v>128</v>
      </c>
      <c r="E24" s="582">
        <v>0</v>
      </c>
      <c r="F24" s="583">
        <v>133</v>
      </c>
      <c r="G24" s="583">
        <f t="shared" si="0"/>
        <v>24472</v>
      </c>
      <c r="H24" s="582">
        <v>253</v>
      </c>
      <c r="I24" s="599">
        <f t="shared" si="1"/>
        <v>928.71239999999989</v>
      </c>
      <c r="J24" s="599">
        <f t="shared" si="2"/>
        <v>928.71239999999989</v>
      </c>
      <c r="K24" s="582"/>
      <c r="L24" s="582"/>
      <c r="M24" s="599">
        <f t="shared" si="3"/>
        <v>185.74248</v>
      </c>
      <c r="N24" s="599">
        <f t="shared" si="4"/>
        <v>92.87124</v>
      </c>
      <c r="O24" s="599">
        <f t="shared" si="5"/>
        <v>92.87124</v>
      </c>
      <c r="P24" s="582"/>
      <c r="Q24" s="582"/>
      <c r="R24" s="582"/>
      <c r="S24" s="585">
        <v>117.5</v>
      </c>
      <c r="T24" s="584">
        <f t="shared" si="6"/>
        <v>10.912370699999999</v>
      </c>
    </row>
    <row r="25" spans="1:20" s="586" customFormat="1" ht="18.75" customHeight="1" x14ac:dyDescent="0.25">
      <c r="A25" s="581">
        <v>15</v>
      </c>
      <c r="B25" s="582" t="s">
        <v>910</v>
      </c>
      <c r="C25" s="583">
        <v>53904</v>
      </c>
      <c r="D25" s="583">
        <v>479</v>
      </c>
      <c r="E25" s="582">
        <v>0</v>
      </c>
      <c r="F25" s="583">
        <v>179</v>
      </c>
      <c r="G25" s="583">
        <f t="shared" si="0"/>
        <v>54562</v>
      </c>
      <c r="H25" s="582">
        <v>253</v>
      </c>
      <c r="I25" s="599">
        <f t="shared" si="1"/>
        <v>2070.6279</v>
      </c>
      <c r="J25" s="599">
        <f t="shared" si="2"/>
        <v>2070.6279</v>
      </c>
      <c r="K25" s="582"/>
      <c r="L25" s="582"/>
      <c r="M25" s="599">
        <f t="shared" si="3"/>
        <v>414.12558000000001</v>
      </c>
      <c r="N25" s="599">
        <f t="shared" si="4"/>
        <v>207.06279000000001</v>
      </c>
      <c r="O25" s="599">
        <f t="shared" si="5"/>
        <v>207.06279000000001</v>
      </c>
      <c r="P25" s="582"/>
      <c r="Q25" s="582"/>
      <c r="R25" s="582"/>
      <c r="S25" s="585">
        <v>117.5</v>
      </c>
      <c r="T25" s="584">
        <f t="shared" si="6"/>
        <v>24.329877824999997</v>
      </c>
    </row>
    <row r="26" spans="1:20" s="586" customFormat="1" ht="18.75" customHeight="1" x14ac:dyDescent="0.25">
      <c r="A26" s="581">
        <v>16</v>
      </c>
      <c r="B26" s="582" t="s">
        <v>911</v>
      </c>
      <c r="C26" s="583">
        <v>60232</v>
      </c>
      <c r="D26" s="583">
        <v>1599</v>
      </c>
      <c r="E26" s="582">
        <v>0</v>
      </c>
      <c r="F26" s="583">
        <v>425</v>
      </c>
      <c r="G26" s="583">
        <f t="shared" si="0"/>
        <v>62256</v>
      </c>
      <c r="H26" s="582">
        <v>253</v>
      </c>
      <c r="I26" s="599">
        <f t="shared" si="1"/>
        <v>2362.6151999999997</v>
      </c>
      <c r="J26" s="599">
        <f t="shared" si="2"/>
        <v>2362.6151999999997</v>
      </c>
      <c r="K26" s="582"/>
      <c r="L26" s="582"/>
      <c r="M26" s="599">
        <f t="shared" si="3"/>
        <v>472.52304000000004</v>
      </c>
      <c r="N26" s="599">
        <f t="shared" si="4"/>
        <v>236.26152000000002</v>
      </c>
      <c r="O26" s="599">
        <f t="shared" si="5"/>
        <v>236.26152000000002</v>
      </c>
      <c r="P26" s="582"/>
      <c r="Q26" s="582"/>
      <c r="R26" s="582"/>
      <c r="S26" s="585">
        <v>117.5</v>
      </c>
      <c r="T26" s="584">
        <f t="shared" si="6"/>
        <v>27.7607286</v>
      </c>
    </row>
    <row r="27" spans="1:20" s="586" customFormat="1" ht="18.75" customHeight="1" x14ac:dyDescent="0.25">
      <c r="A27" s="581">
        <v>17</v>
      </c>
      <c r="B27" s="582" t="s">
        <v>912</v>
      </c>
      <c r="C27" s="583">
        <v>54673</v>
      </c>
      <c r="D27" s="583">
        <v>2317</v>
      </c>
      <c r="E27" s="582">
        <v>0</v>
      </c>
      <c r="F27" s="583">
        <v>85</v>
      </c>
      <c r="G27" s="583">
        <f t="shared" si="0"/>
        <v>57075</v>
      </c>
      <c r="H27" s="582">
        <v>253</v>
      </c>
      <c r="I27" s="599">
        <f t="shared" si="1"/>
        <v>2165.9962499999997</v>
      </c>
      <c r="J27" s="599">
        <f t="shared" si="2"/>
        <v>2165.9962499999997</v>
      </c>
      <c r="K27" s="582"/>
      <c r="L27" s="582"/>
      <c r="M27" s="599">
        <f t="shared" si="3"/>
        <v>433.19925000000001</v>
      </c>
      <c r="N27" s="599">
        <f t="shared" si="4"/>
        <v>216.599625</v>
      </c>
      <c r="O27" s="599">
        <f t="shared" si="5"/>
        <v>216.599625</v>
      </c>
      <c r="P27" s="582"/>
      <c r="Q27" s="582"/>
      <c r="R27" s="582"/>
      <c r="S27" s="585">
        <v>117.5</v>
      </c>
      <c r="T27" s="584">
        <f t="shared" si="6"/>
        <v>25.450455937499996</v>
      </c>
    </row>
    <row r="28" spans="1:20" s="586" customFormat="1" ht="18.75" customHeight="1" x14ac:dyDescent="0.25">
      <c r="A28" s="581">
        <v>18</v>
      </c>
      <c r="B28" s="582" t="s">
        <v>913</v>
      </c>
      <c r="C28" s="583">
        <v>47499</v>
      </c>
      <c r="D28" s="583">
        <v>350</v>
      </c>
      <c r="E28" s="582">
        <v>0</v>
      </c>
      <c r="F28" s="583">
        <v>15</v>
      </c>
      <c r="G28" s="583">
        <f t="shared" si="0"/>
        <v>47864</v>
      </c>
      <c r="H28" s="582">
        <v>253</v>
      </c>
      <c r="I28" s="599">
        <f t="shared" si="1"/>
        <v>1816.4387999999999</v>
      </c>
      <c r="J28" s="599">
        <f t="shared" si="2"/>
        <v>1816.4387999999999</v>
      </c>
      <c r="K28" s="582"/>
      <c r="L28" s="582"/>
      <c r="M28" s="599">
        <f t="shared" si="3"/>
        <v>363.28775999999999</v>
      </c>
      <c r="N28" s="599">
        <f t="shared" si="4"/>
        <v>181.64388</v>
      </c>
      <c r="O28" s="599">
        <f t="shared" si="5"/>
        <v>181.64388</v>
      </c>
      <c r="P28" s="582"/>
      <c r="Q28" s="582"/>
      <c r="R28" s="582"/>
      <c r="S28" s="585">
        <v>117.5</v>
      </c>
      <c r="T28" s="584">
        <f t="shared" si="6"/>
        <v>21.343155899999999</v>
      </c>
    </row>
    <row r="29" spans="1:20" s="586" customFormat="1" ht="18.75" customHeight="1" x14ac:dyDescent="0.25">
      <c r="A29" s="581">
        <v>19</v>
      </c>
      <c r="B29" s="582" t="s">
        <v>914</v>
      </c>
      <c r="C29" s="583">
        <v>34839</v>
      </c>
      <c r="D29" s="583">
        <v>847</v>
      </c>
      <c r="E29" s="582">
        <v>0</v>
      </c>
      <c r="F29" s="583">
        <v>93</v>
      </c>
      <c r="G29" s="583">
        <f t="shared" si="0"/>
        <v>35779</v>
      </c>
      <c r="H29" s="582">
        <v>253</v>
      </c>
      <c r="I29" s="599">
        <f t="shared" si="1"/>
        <v>1357.81305</v>
      </c>
      <c r="J29" s="599">
        <f t="shared" si="2"/>
        <v>1357.81305</v>
      </c>
      <c r="K29" s="582"/>
      <c r="L29" s="582"/>
      <c r="M29" s="599">
        <f t="shared" si="3"/>
        <v>271.56261000000001</v>
      </c>
      <c r="N29" s="599">
        <f t="shared" si="4"/>
        <v>135.781305</v>
      </c>
      <c r="O29" s="599">
        <f t="shared" si="5"/>
        <v>135.781305</v>
      </c>
      <c r="P29" s="582"/>
      <c r="Q29" s="582"/>
      <c r="R29" s="582"/>
      <c r="S29" s="585">
        <v>117.5</v>
      </c>
      <c r="T29" s="584">
        <f t="shared" si="6"/>
        <v>15.954303337500001</v>
      </c>
    </row>
    <row r="30" spans="1:20" s="586" customFormat="1" ht="18.75" customHeight="1" x14ac:dyDescent="0.25">
      <c r="A30" s="581">
        <v>20</v>
      </c>
      <c r="B30" s="582" t="s">
        <v>915</v>
      </c>
      <c r="C30" s="583">
        <v>24572</v>
      </c>
      <c r="D30" s="583">
        <v>226</v>
      </c>
      <c r="E30" s="582">
        <v>0</v>
      </c>
      <c r="F30" s="583">
        <v>92</v>
      </c>
      <c r="G30" s="583">
        <f t="shared" si="0"/>
        <v>24890</v>
      </c>
      <c r="H30" s="582">
        <v>253</v>
      </c>
      <c r="I30" s="599">
        <f t="shared" si="1"/>
        <v>944.57549999999992</v>
      </c>
      <c r="J30" s="599">
        <f t="shared" si="2"/>
        <v>944.57549999999992</v>
      </c>
      <c r="K30" s="582"/>
      <c r="L30" s="582"/>
      <c r="M30" s="599">
        <f t="shared" si="3"/>
        <v>188.9151</v>
      </c>
      <c r="N30" s="599">
        <f t="shared" si="4"/>
        <v>94.457549999999998</v>
      </c>
      <c r="O30" s="599">
        <f t="shared" si="5"/>
        <v>94.457549999999998</v>
      </c>
      <c r="P30" s="582"/>
      <c r="Q30" s="582"/>
      <c r="R30" s="582"/>
      <c r="S30" s="585">
        <v>117.5</v>
      </c>
      <c r="T30" s="584">
        <f t="shared" si="6"/>
        <v>11.098762124999999</v>
      </c>
    </row>
    <row r="31" spans="1:20" s="586" customFormat="1" ht="18.75" customHeight="1" x14ac:dyDescent="0.25">
      <c r="A31" s="581">
        <v>21</v>
      </c>
      <c r="B31" s="582" t="s">
        <v>916</v>
      </c>
      <c r="C31" s="583">
        <v>29812</v>
      </c>
      <c r="D31" s="583">
        <v>627</v>
      </c>
      <c r="E31" s="582">
        <v>0</v>
      </c>
      <c r="F31" s="583">
        <v>1517</v>
      </c>
      <c r="G31" s="583">
        <f t="shared" si="0"/>
        <v>31956</v>
      </c>
      <c r="H31" s="582">
        <v>253</v>
      </c>
      <c r="I31" s="599">
        <f t="shared" si="1"/>
        <v>1212.7302</v>
      </c>
      <c r="J31" s="599">
        <f t="shared" si="2"/>
        <v>1212.7302</v>
      </c>
      <c r="K31" s="582"/>
      <c r="L31" s="582"/>
      <c r="M31" s="599">
        <f t="shared" si="3"/>
        <v>242.54604</v>
      </c>
      <c r="N31" s="599">
        <f t="shared" si="4"/>
        <v>121.27302</v>
      </c>
      <c r="O31" s="599">
        <f t="shared" si="5"/>
        <v>121.27302</v>
      </c>
      <c r="P31" s="582"/>
      <c r="Q31" s="582"/>
      <c r="R31" s="582"/>
      <c r="S31" s="585">
        <v>117.5</v>
      </c>
      <c r="T31" s="584">
        <f t="shared" si="6"/>
        <v>14.249579849999998</v>
      </c>
    </row>
    <row r="32" spans="1:20" s="586" customFormat="1" ht="18.75" customHeight="1" x14ac:dyDescent="0.25">
      <c r="A32" s="581">
        <v>22</v>
      </c>
      <c r="B32" s="582" t="s">
        <v>917</v>
      </c>
      <c r="C32" s="583">
        <v>15411</v>
      </c>
      <c r="D32" s="583">
        <v>1147</v>
      </c>
      <c r="E32" s="582">
        <v>0</v>
      </c>
      <c r="F32" s="583">
        <v>970</v>
      </c>
      <c r="G32" s="583">
        <f t="shared" si="0"/>
        <v>17528</v>
      </c>
      <c r="H32" s="582">
        <v>253</v>
      </c>
      <c r="I32" s="599">
        <f t="shared" si="1"/>
        <v>665.18759999999997</v>
      </c>
      <c r="J32" s="599">
        <f t="shared" si="2"/>
        <v>665.18759999999997</v>
      </c>
      <c r="K32" s="582"/>
      <c r="L32" s="582"/>
      <c r="M32" s="599">
        <f t="shared" si="3"/>
        <v>133.03752</v>
      </c>
      <c r="N32" s="599">
        <f t="shared" si="4"/>
        <v>66.51876</v>
      </c>
      <c r="O32" s="599">
        <f t="shared" si="5"/>
        <v>66.51876</v>
      </c>
      <c r="P32" s="582"/>
      <c r="Q32" s="582"/>
      <c r="R32" s="582"/>
      <c r="S32" s="585">
        <v>117.5</v>
      </c>
      <c r="T32" s="584">
        <f t="shared" si="6"/>
        <v>7.8159542999999996</v>
      </c>
    </row>
    <row r="33" spans="1:20" s="586" customFormat="1" ht="18.75" customHeight="1" x14ac:dyDescent="0.25">
      <c r="A33" s="581">
        <v>23</v>
      </c>
      <c r="B33" s="582" t="s">
        <v>918</v>
      </c>
      <c r="C33" s="583">
        <v>35841</v>
      </c>
      <c r="D33" s="583">
        <v>1007</v>
      </c>
      <c r="E33" s="582">
        <v>0</v>
      </c>
      <c r="F33" s="583">
        <v>2473</v>
      </c>
      <c r="G33" s="583">
        <f t="shared" si="0"/>
        <v>39321</v>
      </c>
      <c r="H33" s="582">
        <v>253</v>
      </c>
      <c r="I33" s="599">
        <f t="shared" si="1"/>
        <v>1492.2319499999999</v>
      </c>
      <c r="J33" s="599">
        <f t="shared" si="2"/>
        <v>1492.2319499999999</v>
      </c>
      <c r="K33" s="582"/>
      <c r="L33" s="582"/>
      <c r="M33" s="599">
        <f t="shared" si="3"/>
        <v>298.44639000000001</v>
      </c>
      <c r="N33" s="599">
        <f t="shared" si="4"/>
        <v>149.223195</v>
      </c>
      <c r="O33" s="599">
        <f t="shared" si="5"/>
        <v>149.223195</v>
      </c>
      <c r="P33" s="582"/>
      <c r="Q33" s="582"/>
      <c r="R33" s="582"/>
      <c r="S33" s="585">
        <v>117.5</v>
      </c>
      <c r="T33" s="584">
        <f t="shared" si="6"/>
        <v>17.533725412499997</v>
      </c>
    </row>
    <row r="34" spans="1:20" s="586" customFormat="1" ht="18.75" customHeight="1" x14ac:dyDescent="0.25">
      <c r="A34" s="581">
        <v>24</v>
      </c>
      <c r="B34" s="582" t="s">
        <v>919</v>
      </c>
      <c r="C34" s="583">
        <v>69177</v>
      </c>
      <c r="D34" s="583">
        <v>282</v>
      </c>
      <c r="E34" s="582">
        <v>0</v>
      </c>
      <c r="F34" s="583">
        <v>255</v>
      </c>
      <c r="G34" s="583">
        <f t="shared" si="0"/>
        <v>69714</v>
      </c>
      <c r="H34" s="582">
        <v>253</v>
      </c>
      <c r="I34" s="599">
        <f t="shared" si="1"/>
        <v>2645.6462999999999</v>
      </c>
      <c r="J34" s="599">
        <f t="shared" si="2"/>
        <v>2645.6462999999999</v>
      </c>
      <c r="K34" s="582"/>
      <c r="L34" s="582"/>
      <c r="M34" s="599">
        <f t="shared" si="3"/>
        <v>529.12926000000004</v>
      </c>
      <c r="N34" s="599">
        <f t="shared" si="4"/>
        <v>264.56463000000002</v>
      </c>
      <c r="O34" s="599">
        <f t="shared" si="5"/>
        <v>264.56463000000002</v>
      </c>
      <c r="P34" s="582"/>
      <c r="Q34" s="582"/>
      <c r="R34" s="582"/>
      <c r="S34" s="585">
        <v>117.5</v>
      </c>
      <c r="T34" s="584">
        <f t="shared" si="6"/>
        <v>31.086344024999999</v>
      </c>
    </row>
    <row r="35" spans="1:20" s="589" customFormat="1" ht="18.75" customHeight="1" x14ac:dyDescent="0.25">
      <c r="A35" s="1128" t="s">
        <v>18</v>
      </c>
      <c r="B35" s="1128"/>
      <c r="C35" s="587">
        <f>SUM(C11:C34)</f>
        <v>923391</v>
      </c>
      <c r="D35" s="587">
        <f>SUM(D11:D34)</f>
        <v>66300</v>
      </c>
      <c r="E35" s="587">
        <f>SUM(E11:E34)</f>
        <v>0</v>
      </c>
      <c r="F35" s="587">
        <f>SUM(F11:F34)</f>
        <v>7357</v>
      </c>
      <c r="G35" s="587">
        <f>SUM(G11:G34)</f>
        <v>997048</v>
      </c>
      <c r="H35" s="587"/>
      <c r="I35" s="600">
        <f>SUM(I11:I34)</f>
        <v>37837.971599999997</v>
      </c>
      <c r="J35" s="600">
        <f>SUM(J11:J34)</f>
        <v>37837.971599999997</v>
      </c>
      <c r="K35" s="587"/>
      <c r="L35" s="587"/>
      <c r="M35" s="600">
        <f>SUM(M11:M34)</f>
        <v>7567.5943199999992</v>
      </c>
      <c r="N35" s="600">
        <f>SUM(N11:N34)</f>
        <v>3783.7971599999996</v>
      </c>
      <c r="O35" s="600">
        <f>SUM(O11:O34)</f>
        <v>3783.7971599999996</v>
      </c>
      <c r="P35" s="587"/>
      <c r="Q35" s="587"/>
      <c r="R35" s="587"/>
      <c r="S35" s="587"/>
      <c r="T35" s="588">
        <f>SUM(T11:T34)</f>
        <v>444.59616629999999</v>
      </c>
    </row>
    <row r="36" spans="1:20" s="589" customFormat="1" ht="18.75" customHeight="1" x14ac:dyDescent="0.25">
      <c r="A36" s="601"/>
      <c r="B36" s="601"/>
      <c r="C36" s="602"/>
      <c r="D36" s="602"/>
      <c r="E36" s="602"/>
      <c r="F36" s="602"/>
      <c r="G36" s="602"/>
      <c r="H36" s="602"/>
      <c r="I36" s="603"/>
      <c r="J36" s="603"/>
      <c r="K36" s="602"/>
      <c r="L36" s="602"/>
      <c r="M36" s="603"/>
      <c r="N36" s="603"/>
      <c r="O36" s="603"/>
      <c r="P36" s="602"/>
      <c r="Q36" s="602"/>
      <c r="R36" s="602"/>
      <c r="S36" s="602"/>
      <c r="T36" s="604"/>
    </row>
    <row r="37" spans="1:20" s="589" customFormat="1" ht="18.75" customHeight="1" x14ac:dyDescent="0.25">
      <c r="A37" s="601"/>
      <c r="B37" s="601"/>
      <c r="C37" s="602"/>
      <c r="D37" s="602"/>
      <c r="E37" s="602"/>
      <c r="F37" s="602"/>
      <c r="G37" s="602"/>
      <c r="H37" s="602"/>
      <c r="I37" s="603"/>
      <c r="J37" s="603"/>
      <c r="K37" s="602"/>
      <c r="L37" s="602"/>
      <c r="M37" s="603"/>
      <c r="N37" s="603"/>
      <c r="O37" s="603"/>
      <c r="P37" s="602"/>
      <c r="Q37" s="602"/>
      <c r="R37" s="602"/>
      <c r="S37" s="602"/>
      <c r="T37" s="604"/>
    </row>
    <row r="38" spans="1:20" s="589" customFormat="1" ht="18.75" customHeight="1" x14ac:dyDescent="0.25">
      <c r="A38" s="51" t="s">
        <v>11</v>
      </c>
      <c r="B38" s="601"/>
      <c r="C38" s="602"/>
      <c r="D38" s="602"/>
      <c r="E38" s="602"/>
      <c r="F38" s="602"/>
      <c r="G38" s="602"/>
      <c r="H38" s="602"/>
      <c r="I38" s="603"/>
      <c r="J38" s="603"/>
      <c r="K38" s="602"/>
      <c r="L38" s="602"/>
      <c r="M38" s="603"/>
      <c r="N38" s="603"/>
      <c r="O38" s="603"/>
      <c r="P38" s="602"/>
      <c r="Q38" s="602"/>
      <c r="R38" s="602"/>
      <c r="S38" s="602"/>
      <c r="T38" s="604"/>
    </row>
    <row r="39" spans="1:20" s="589" customFormat="1" ht="18.75" customHeight="1" x14ac:dyDescent="0.25">
      <c r="A39" s="601"/>
      <c r="B39" s="601"/>
      <c r="C39" s="602"/>
      <c r="D39" s="602"/>
      <c r="E39" s="602"/>
      <c r="F39" s="602"/>
      <c r="G39" s="602"/>
      <c r="H39" s="602"/>
      <c r="I39" s="603"/>
      <c r="J39" s="603"/>
      <c r="K39" s="602"/>
      <c r="L39" s="602"/>
      <c r="M39" s="603"/>
      <c r="N39" s="603"/>
      <c r="O39" s="603"/>
      <c r="P39" s="602"/>
      <c r="Q39" s="602"/>
      <c r="R39" s="602"/>
      <c r="S39" s="602"/>
      <c r="T39" s="604"/>
    </row>
    <row r="40" spans="1:20" s="589" customFormat="1" ht="18.75" customHeight="1" x14ac:dyDescent="0.25">
      <c r="A40" s="601"/>
      <c r="B40" s="601"/>
      <c r="C40" s="602"/>
      <c r="D40" s="602"/>
      <c r="E40" s="602"/>
      <c r="F40" s="602"/>
      <c r="G40" s="602"/>
      <c r="H40" s="602"/>
      <c r="I40" s="603"/>
      <c r="J40" s="603"/>
      <c r="K40" s="602"/>
      <c r="L40" s="602"/>
      <c r="M40" s="603"/>
      <c r="N40" s="603"/>
      <c r="O40" s="603"/>
      <c r="P40" s="602"/>
      <c r="Q40" s="602"/>
      <c r="R40" s="602" t="s">
        <v>12</v>
      </c>
      <c r="S40" s="602"/>
      <c r="T40" s="604"/>
    </row>
    <row r="41" spans="1:20" ht="12.75" customHeight="1" x14ac:dyDescent="0.2">
      <c r="I41" s="580"/>
      <c r="J41" s="680"/>
      <c r="K41" s="680"/>
      <c r="L41" s="680"/>
      <c r="M41" s="680"/>
      <c r="N41" s="680"/>
      <c r="O41" s="680"/>
      <c r="P41" s="680"/>
      <c r="Q41" s="680" t="s">
        <v>13</v>
      </c>
      <c r="R41" s="680"/>
      <c r="S41" s="680"/>
      <c r="T41" s="680"/>
    </row>
    <row r="42" spans="1:20" ht="12.75" customHeight="1" x14ac:dyDescent="0.2">
      <c r="I42" s="680"/>
      <c r="J42" s="680"/>
      <c r="K42" s="680"/>
      <c r="L42" s="680"/>
      <c r="M42" s="680"/>
      <c r="N42" s="680"/>
      <c r="O42" s="680"/>
      <c r="P42" s="680"/>
      <c r="Q42" s="680" t="s">
        <v>87</v>
      </c>
      <c r="R42" s="680"/>
      <c r="S42" s="680"/>
      <c r="T42" s="680"/>
    </row>
    <row r="43" spans="1:20" x14ac:dyDescent="0.2">
      <c r="A43" s="580"/>
      <c r="B43" s="580"/>
      <c r="J43" s="580"/>
      <c r="K43" s="580"/>
      <c r="L43" s="580"/>
      <c r="M43" s="580"/>
      <c r="N43" s="580"/>
      <c r="O43" s="580"/>
      <c r="P43" s="580"/>
      <c r="Q43" s="580" t="s">
        <v>703</v>
      </c>
      <c r="R43" s="580"/>
      <c r="S43" s="580"/>
      <c r="T43" s="580"/>
    </row>
    <row r="45" spans="1:20" x14ac:dyDescent="0.2">
      <c r="A45" s="1122"/>
      <c r="B45" s="1122"/>
      <c r="C45" s="1122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  <c r="N45" s="1122"/>
      <c r="O45" s="1122"/>
      <c r="P45" s="1122"/>
      <c r="Q45" s="1122"/>
      <c r="R45" s="1122"/>
      <c r="S45" s="1122"/>
      <c r="T45" s="1122"/>
    </row>
  </sheetData>
  <mergeCells count="17">
    <mergeCell ref="A6:T6"/>
    <mergeCell ref="G1:I1"/>
    <mergeCell ref="S1:T1"/>
    <mergeCell ref="A2:T2"/>
    <mergeCell ref="A3:T3"/>
    <mergeCell ref="A4:T5"/>
    <mergeCell ref="A35:B35"/>
    <mergeCell ref="A45:T45"/>
    <mergeCell ref="A7:B7"/>
    <mergeCell ref="L7:T7"/>
    <mergeCell ref="A8:A9"/>
    <mergeCell ref="B8:B9"/>
    <mergeCell ref="C8:G8"/>
    <mergeCell ref="H8:H9"/>
    <mergeCell ref="I8:L8"/>
    <mergeCell ref="M8:R8"/>
    <mergeCell ref="S8:T8"/>
  </mergeCells>
  <printOptions horizontalCentered="1"/>
  <pageMargins left="0.70866141732283472" right="0.16" top="0.23622047244094491" bottom="0" header="0.21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7"/>
  <sheetViews>
    <sheetView topLeftCell="B9" zoomScale="90" zoomScaleNormal="90" zoomScaleSheetLayoutView="80" workbookViewId="0">
      <selection activeCell="K28" sqref="K28"/>
    </sheetView>
  </sheetViews>
  <sheetFormatPr defaultColWidth="9.140625" defaultRowHeight="12.75" x14ac:dyDescent="0.2"/>
  <cols>
    <col min="1" max="1" width="7.28515625" style="162" customWidth="1"/>
    <col min="2" max="2" width="26" style="162" customWidth="1"/>
    <col min="3" max="4" width="9.140625" style="162" customWidth="1"/>
    <col min="5" max="5" width="8.85546875" style="162" bestFit="1" customWidth="1"/>
    <col min="6" max="6" width="13.5703125" style="162" customWidth="1"/>
    <col min="7" max="9" width="10.7109375" style="162" customWidth="1"/>
    <col min="10" max="10" width="13.85546875" style="162" customWidth="1"/>
    <col min="11" max="12" width="9.140625" style="162"/>
    <col min="13" max="13" width="10.5703125" style="162" customWidth="1"/>
    <col min="14" max="14" width="11" style="162" customWidth="1"/>
    <col min="15" max="15" width="11.5703125" style="162" customWidth="1"/>
    <col min="16" max="18" width="9.140625" style="162"/>
    <col min="19" max="21" width="8.85546875" style="162" customWidth="1"/>
    <col min="22" max="22" width="12.85546875" style="162" customWidth="1"/>
    <col min="23" max="16384" width="9.140625" style="162"/>
  </cols>
  <sheetData>
    <row r="1" spans="1:24" ht="15" x14ac:dyDescent="0.2">
      <c r="V1" s="163" t="s">
        <v>536</v>
      </c>
    </row>
    <row r="2" spans="1:24" ht="15.75" x14ac:dyDescent="0.25">
      <c r="G2" s="113" t="s">
        <v>0</v>
      </c>
      <c r="H2" s="113"/>
      <c r="I2" s="113"/>
      <c r="O2" s="82"/>
      <c r="P2" s="82"/>
      <c r="Q2" s="82"/>
      <c r="R2" s="82"/>
    </row>
    <row r="3" spans="1:24" ht="20.25" x14ac:dyDescent="0.3">
      <c r="C3" s="872" t="s">
        <v>740</v>
      </c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18" x14ac:dyDescent="0.25"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4" ht="15.75" x14ac:dyDescent="0.25">
      <c r="B5" s="873" t="s">
        <v>791</v>
      </c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3"/>
      <c r="U5" s="874" t="s">
        <v>244</v>
      </c>
      <c r="V5" s="875"/>
    </row>
    <row r="6" spans="1:24" ht="15" x14ac:dyDescent="0.2">
      <c r="K6" s="82"/>
      <c r="L6" s="82"/>
      <c r="M6" s="82"/>
      <c r="N6" s="82"/>
      <c r="O6" s="82"/>
      <c r="P6" s="82"/>
      <c r="Q6" s="82"/>
      <c r="R6" s="82"/>
    </row>
    <row r="7" spans="1:24" x14ac:dyDescent="0.2">
      <c r="A7" s="876" t="s">
        <v>158</v>
      </c>
      <c r="B7" s="876"/>
      <c r="O7" s="877" t="s">
        <v>829</v>
      </c>
      <c r="P7" s="877"/>
      <c r="Q7" s="877"/>
      <c r="R7" s="877"/>
      <c r="S7" s="877"/>
      <c r="T7" s="877"/>
      <c r="U7" s="877"/>
      <c r="V7" s="877"/>
    </row>
    <row r="8" spans="1:24" ht="35.25" customHeight="1" x14ac:dyDescent="0.2">
      <c r="A8" s="878" t="s">
        <v>2</v>
      </c>
      <c r="B8" s="878" t="s">
        <v>142</v>
      </c>
      <c r="C8" s="888" t="s">
        <v>143</v>
      </c>
      <c r="D8" s="888"/>
      <c r="E8" s="888"/>
      <c r="F8" s="888" t="s">
        <v>144</v>
      </c>
      <c r="G8" s="878" t="s">
        <v>174</v>
      </c>
      <c r="H8" s="878"/>
      <c r="I8" s="878"/>
      <c r="J8" s="878"/>
      <c r="K8" s="878"/>
      <c r="L8" s="878"/>
      <c r="M8" s="878"/>
      <c r="N8" s="878"/>
      <c r="O8" s="878" t="s">
        <v>175</v>
      </c>
      <c r="P8" s="878"/>
      <c r="Q8" s="878"/>
      <c r="R8" s="878"/>
      <c r="S8" s="878"/>
      <c r="T8" s="878"/>
      <c r="U8" s="878"/>
      <c r="V8" s="878"/>
    </row>
    <row r="9" spans="1:24" ht="15" x14ac:dyDescent="0.2">
      <c r="A9" s="878"/>
      <c r="B9" s="878"/>
      <c r="C9" s="888" t="s">
        <v>245</v>
      </c>
      <c r="D9" s="888" t="s">
        <v>43</v>
      </c>
      <c r="E9" s="888" t="s">
        <v>44</v>
      </c>
      <c r="F9" s="888"/>
      <c r="G9" s="878" t="s">
        <v>176</v>
      </c>
      <c r="H9" s="878"/>
      <c r="I9" s="878"/>
      <c r="J9" s="878"/>
      <c r="K9" s="878" t="s">
        <v>160</v>
      </c>
      <c r="L9" s="878"/>
      <c r="M9" s="878"/>
      <c r="N9" s="878"/>
      <c r="O9" s="878" t="s">
        <v>145</v>
      </c>
      <c r="P9" s="878"/>
      <c r="Q9" s="878"/>
      <c r="R9" s="878"/>
      <c r="S9" s="878" t="s">
        <v>159</v>
      </c>
      <c r="T9" s="878"/>
      <c r="U9" s="878"/>
      <c r="V9" s="878"/>
    </row>
    <row r="10" spans="1:24" x14ac:dyDescent="0.2">
      <c r="A10" s="878"/>
      <c r="B10" s="878"/>
      <c r="C10" s="888"/>
      <c r="D10" s="888"/>
      <c r="E10" s="888"/>
      <c r="F10" s="888"/>
      <c r="G10" s="889" t="s">
        <v>146</v>
      </c>
      <c r="H10" s="890"/>
      <c r="I10" s="891"/>
      <c r="J10" s="879" t="s">
        <v>147</v>
      </c>
      <c r="K10" s="882" t="s">
        <v>146</v>
      </c>
      <c r="L10" s="883"/>
      <c r="M10" s="884"/>
      <c r="N10" s="879" t="s">
        <v>147</v>
      </c>
      <c r="O10" s="882" t="s">
        <v>146</v>
      </c>
      <c r="P10" s="883"/>
      <c r="Q10" s="884"/>
      <c r="R10" s="879" t="s">
        <v>147</v>
      </c>
      <c r="S10" s="882" t="s">
        <v>146</v>
      </c>
      <c r="T10" s="883"/>
      <c r="U10" s="884"/>
      <c r="V10" s="879" t="s">
        <v>147</v>
      </c>
    </row>
    <row r="11" spans="1:24" ht="15" customHeight="1" x14ac:dyDescent="0.2">
      <c r="A11" s="878"/>
      <c r="B11" s="878"/>
      <c r="C11" s="888"/>
      <c r="D11" s="888"/>
      <c r="E11" s="888"/>
      <c r="F11" s="888"/>
      <c r="G11" s="892"/>
      <c r="H11" s="893"/>
      <c r="I11" s="894"/>
      <c r="J11" s="880"/>
      <c r="K11" s="885"/>
      <c r="L11" s="886"/>
      <c r="M11" s="887"/>
      <c r="N11" s="880"/>
      <c r="O11" s="885"/>
      <c r="P11" s="886"/>
      <c r="Q11" s="887"/>
      <c r="R11" s="880"/>
      <c r="S11" s="885"/>
      <c r="T11" s="886"/>
      <c r="U11" s="887"/>
      <c r="V11" s="880"/>
    </row>
    <row r="12" spans="1:24" ht="15" x14ac:dyDescent="0.2">
      <c r="A12" s="878"/>
      <c r="B12" s="878"/>
      <c r="C12" s="888"/>
      <c r="D12" s="888"/>
      <c r="E12" s="888"/>
      <c r="F12" s="888"/>
      <c r="G12" s="166" t="s">
        <v>245</v>
      </c>
      <c r="H12" s="166" t="s">
        <v>43</v>
      </c>
      <c r="I12" s="167" t="s">
        <v>44</v>
      </c>
      <c r="J12" s="881"/>
      <c r="K12" s="165" t="s">
        <v>245</v>
      </c>
      <c r="L12" s="165" t="s">
        <v>43</v>
      </c>
      <c r="M12" s="165" t="s">
        <v>44</v>
      </c>
      <c r="N12" s="881"/>
      <c r="O12" s="165" t="s">
        <v>245</v>
      </c>
      <c r="P12" s="165" t="s">
        <v>43</v>
      </c>
      <c r="Q12" s="165" t="s">
        <v>44</v>
      </c>
      <c r="R12" s="881"/>
      <c r="S12" s="165" t="s">
        <v>245</v>
      </c>
      <c r="T12" s="165" t="s">
        <v>43</v>
      </c>
      <c r="U12" s="165" t="s">
        <v>44</v>
      </c>
      <c r="V12" s="881"/>
    </row>
    <row r="13" spans="1:24" ht="15" x14ac:dyDescent="0.2">
      <c r="A13" s="165">
        <v>1</v>
      </c>
      <c r="B13" s="165">
        <v>2</v>
      </c>
      <c r="C13" s="165">
        <v>3</v>
      </c>
      <c r="D13" s="165">
        <v>4</v>
      </c>
      <c r="E13" s="165">
        <v>5</v>
      </c>
      <c r="F13" s="165">
        <v>6</v>
      </c>
      <c r="G13" s="165">
        <v>7</v>
      </c>
      <c r="H13" s="165">
        <v>8</v>
      </c>
      <c r="I13" s="165">
        <v>9</v>
      </c>
      <c r="J13" s="165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</row>
    <row r="14" spans="1:24" ht="36.75" customHeight="1" x14ac:dyDescent="0.2">
      <c r="A14" s="895" t="s">
        <v>205</v>
      </c>
      <c r="B14" s="89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</row>
    <row r="15" spans="1:24" ht="15" x14ac:dyDescent="0.2">
      <c r="A15" s="549">
        <v>1</v>
      </c>
      <c r="B15" s="565" t="s">
        <v>204</v>
      </c>
      <c r="C15" s="567">
        <v>4733.8</v>
      </c>
      <c r="D15" s="567">
        <v>1228.33</v>
      </c>
      <c r="E15" s="567">
        <v>2348.62</v>
      </c>
      <c r="F15" s="777">
        <v>43584</v>
      </c>
      <c r="G15" s="567">
        <v>4733.8</v>
      </c>
      <c r="H15" s="567">
        <v>1228.33</v>
      </c>
      <c r="I15" s="567">
        <v>2348.62</v>
      </c>
      <c r="J15" s="777">
        <v>43636</v>
      </c>
      <c r="K15" s="567">
        <v>4733.8</v>
      </c>
      <c r="L15" s="567">
        <v>1228.33</v>
      </c>
      <c r="M15" s="567">
        <v>2348.62</v>
      </c>
      <c r="N15" s="777">
        <v>43682</v>
      </c>
      <c r="O15" s="567" t="s">
        <v>1092</v>
      </c>
      <c r="P15" s="567" t="s">
        <v>1092</v>
      </c>
      <c r="Q15" s="567" t="s">
        <v>1092</v>
      </c>
      <c r="R15" s="567" t="s">
        <v>1092</v>
      </c>
      <c r="S15" s="567">
        <v>4733.8</v>
      </c>
      <c r="T15" s="567">
        <v>1228.33</v>
      </c>
      <c r="U15" s="567">
        <v>2348.62</v>
      </c>
      <c r="V15" s="777">
        <v>43702</v>
      </c>
    </row>
    <row r="16" spans="1:24" ht="15" x14ac:dyDescent="0.2">
      <c r="A16" s="549">
        <v>2</v>
      </c>
      <c r="B16" s="565" t="s">
        <v>148</v>
      </c>
      <c r="C16" s="568">
        <v>3990.36</v>
      </c>
      <c r="D16" s="568">
        <v>1035.42</v>
      </c>
      <c r="E16" s="568">
        <v>1979.76</v>
      </c>
      <c r="F16" s="777">
        <v>43719</v>
      </c>
      <c r="G16" s="567">
        <v>3990.3599999999997</v>
      </c>
      <c r="H16" s="567">
        <v>1035.42</v>
      </c>
      <c r="I16" s="567">
        <v>1979.76</v>
      </c>
      <c r="J16" s="777">
        <v>43850</v>
      </c>
      <c r="K16" s="567">
        <v>3990.3599999999997</v>
      </c>
      <c r="L16" s="567">
        <v>1035.42</v>
      </c>
      <c r="M16" s="567">
        <v>1979.76</v>
      </c>
      <c r="N16" s="777">
        <v>43866</v>
      </c>
      <c r="O16" s="567" t="s">
        <v>1092</v>
      </c>
      <c r="P16" s="567" t="s">
        <v>1092</v>
      </c>
      <c r="Q16" s="567" t="s">
        <v>1092</v>
      </c>
      <c r="R16" s="567" t="s">
        <v>1092</v>
      </c>
      <c r="S16" s="567">
        <v>3990.3599999999997</v>
      </c>
      <c r="T16" s="567">
        <v>1035.42</v>
      </c>
      <c r="U16" s="567">
        <v>1979.76</v>
      </c>
      <c r="V16" s="777">
        <v>43887</v>
      </c>
    </row>
    <row r="17" spans="1:22" ht="15" x14ac:dyDescent="0.2">
      <c r="A17" s="549">
        <v>3</v>
      </c>
      <c r="B17" s="565" t="s">
        <v>149</v>
      </c>
      <c r="C17" s="568">
        <v>7975.47</v>
      </c>
      <c r="D17" s="568">
        <v>2069.48</v>
      </c>
      <c r="E17" s="568">
        <v>3956.93</v>
      </c>
      <c r="F17" s="777">
        <v>40171</v>
      </c>
      <c r="G17" s="567">
        <v>7975.47</v>
      </c>
      <c r="H17" s="567">
        <v>2069.48</v>
      </c>
      <c r="I17" s="567">
        <v>3956.93</v>
      </c>
      <c r="J17" s="777">
        <v>43871</v>
      </c>
      <c r="K17" s="567">
        <v>7975.47</v>
      </c>
      <c r="L17" s="567">
        <v>2069.48</v>
      </c>
      <c r="M17" s="567">
        <v>3956.93</v>
      </c>
      <c r="N17" s="777">
        <v>43876</v>
      </c>
      <c r="O17" s="567" t="s">
        <v>1092</v>
      </c>
      <c r="P17" s="567" t="s">
        <v>1092</v>
      </c>
      <c r="Q17" s="567" t="s">
        <v>1092</v>
      </c>
      <c r="R17" s="567" t="s">
        <v>1092</v>
      </c>
      <c r="S17" s="567">
        <v>7975.47</v>
      </c>
      <c r="T17" s="567">
        <v>2069.48</v>
      </c>
      <c r="U17" s="567">
        <v>3956.93</v>
      </c>
      <c r="V17" s="777">
        <v>43878</v>
      </c>
    </row>
    <row r="18" spans="1:22" ht="15" x14ac:dyDescent="0.2">
      <c r="A18" s="549">
        <v>4</v>
      </c>
      <c r="B18" s="566" t="s">
        <v>1005</v>
      </c>
      <c r="C18" s="568">
        <v>1704.66</v>
      </c>
      <c r="D18" s="568">
        <v>442.33</v>
      </c>
      <c r="E18" s="568">
        <v>845.74</v>
      </c>
      <c r="F18" s="777">
        <v>43719</v>
      </c>
      <c r="G18" s="567">
        <v>1704.6599999999999</v>
      </c>
      <c r="H18" s="567">
        <v>442.33</v>
      </c>
      <c r="I18" s="567">
        <v>845.74</v>
      </c>
      <c r="J18" s="777">
        <v>43871</v>
      </c>
      <c r="K18" s="567">
        <v>1704.6599999999999</v>
      </c>
      <c r="L18" s="567">
        <v>442.33</v>
      </c>
      <c r="M18" s="567">
        <v>845.74</v>
      </c>
      <c r="N18" s="777">
        <v>43874</v>
      </c>
      <c r="O18" s="567" t="s">
        <v>1092</v>
      </c>
      <c r="P18" s="567" t="s">
        <v>1092</v>
      </c>
      <c r="Q18" s="567" t="s">
        <v>1092</v>
      </c>
      <c r="R18" s="567" t="s">
        <v>1092</v>
      </c>
      <c r="S18" s="567">
        <v>1704.6599999999999</v>
      </c>
      <c r="T18" s="567">
        <v>442.33</v>
      </c>
      <c r="U18" s="567">
        <v>845.74</v>
      </c>
      <c r="V18" s="777">
        <v>43878</v>
      </c>
    </row>
    <row r="19" spans="1:22" ht="15" x14ac:dyDescent="0.2">
      <c r="A19" s="895" t="s">
        <v>206</v>
      </c>
      <c r="B19" s="896"/>
      <c r="C19" s="417"/>
      <c r="D19" s="417"/>
      <c r="E19" s="417"/>
      <c r="F19" s="16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</row>
    <row r="20" spans="1:22" ht="15" x14ac:dyDescent="0.2">
      <c r="A20" s="549">
        <v>4</v>
      </c>
      <c r="B20" s="565" t="s">
        <v>195</v>
      </c>
      <c r="C20" s="417"/>
      <c r="D20" s="417"/>
      <c r="E20" s="41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</row>
    <row r="21" spans="1:22" ht="15" x14ac:dyDescent="0.2">
      <c r="A21" s="549">
        <v>5</v>
      </c>
      <c r="B21" s="565" t="s">
        <v>127</v>
      </c>
      <c r="C21" s="417"/>
      <c r="D21" s="417"/>
      <c r="E21" s="417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</row>
    <row r="22" spans="1:22" ht="25.5" x14ac:dyDescent="0.2">
      <c r="A22" s="549">
        <v>6</v>
      </c>
      <c r="B22" s="147" t="s">
        <v>848</v>
      </c>
      <c r="C22" s="417"/>
      <c r="D22" s="417"/>
      <c r="E22" s="417"/>
      <c r="F22" s="168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</row>
    <row r="25" spans="1:22" ht="14.25" x14ac:dyDescent="0.2">
      <c r="A25" s="897" t="s">
        <v>161</v>
      </c>
      <c r="B25" s="897"/>
      <c r="C25" s="897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897"/>
      <c r="Q25" s="897"/>
      <c r="R25" s="897"/>
      <c r="S25" s="897"/>
      <c r="T25" s="897"/>
      <c r="U25" s="897"/>
      <c r="V25" s="897"/>
    </row>
    <row r="26" spans="1:22" ht="14.25" x14ac:dyDescent="0.2">
      <c r="A26" s="169"/>
      <c r="B26" s="169"/>
      <c r="C26" s="169"/>
      <c r="D26" s="169"/>
      <c r="E26" s="169"/>
      <c r="F26" s="81" t="s">
        <v>1217</v>
      </c>
      <c r="G26" s="81" t="s">
        <v>1218</v>
      </c>
      <c r="H26" s="169" t="s">
        <v>1219</v>
      </c>
      <c r="I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ht="14.25" x14ac:dyDescent="0.2">
      <c r="A27" s="81"/>
      <c r="B27" s="81"/>
      <c r="C27" s="778"/>
      <c r="E27" s="778" t="s">
        <v>204</v>
      </c>
      <c r="F27" s="81">
        <f>N15-J15</f>
        <v>46</v>
      </c>
      <c r="G27" s="81">
        <f>V15-N15</f>
        <v>20</v>
      </c>
      <c r="H27" s="81">
        <f>V15-J15</f>
        <v>66</v>
      </c>
      <c r="I27" s="81"/>
      <c r="K27" s="81"/>
      <c r="L27" s="81"/>
      <c r="M27" s="81"/>
      <c r="N27" s="81"/>
      <c r="O27" s="81"/>
      <c r="P27" s="81"/>
      <c r="Q27" s="81"/>
      <c r="R27" s="81"/>
    </row>
    <row r="28" spans="1:22" ht="15.75" x14ac:dyDescent="0.25">
      <c r="A28" s="89" t="s">
        <v>11</v>
      </c>
      <c r="B28" s="89"/>
      <c r="C28" s="778"/>
      <c r="D28" s="89"/>
      <c r="E28" s="778" t="s">
        <v>148</v>
      </c>
      <c r="F28" s="81">
        <f>N16-J16</f>
        <v>16</v>
      </c>
      <c r="G28" s="81">
        <f>V16-N16</f>
        <v>21</v>
      </c>
      <c r="H28" s="81">
        <f>V16-J16</f>
        <v>37</v>
      </c>
      <c r="I28" s="89"/>
      <c r="K28" s="89"/>
      <c r="L28" s="89"/>
      <c r="M28" s="89"/>
      <c r="N28" s="898" t="s">
        <v>12</v>
      </c>
      <c r="O28" s="898"/>
      <c r="P28" s="898"/>
      <c r="Q28" s="898"/>
      <c r="R28" s="898"/>
      <c r="S28" s="898"/>
      <c r="T28" s="898"/>
      <c r="U28" s="898"/>
      <c r="V28" s="898"/>
    </row>
    <row r="29" spans="1:22" ht="15.75" x14ac:dyDescent="0.25">
      <c r="A29" s="89"/>
      <c r="B29" s="89"/>
      <c r="C29" s="778"/>
      <c r="D29" s="89"/>
      <c r="E29" s="778" t="s">
        <v>149</v>
      </c>
      <c r="F29" s="81">
        <f>N17-J17</f>
        <v>5</v>
      </c>
      <c r="G29" s="81">
        <f>V17-N17</f>
        <v>2</v>
      </c>
      <c r="H29" s="81">
        <f>V17-J17</f>
        <v>7</v>
      </c>
      <c r="I29" s="89"/>
      <c r="K29" s="89"/>
      <c r="L29" s="89"/>
      <c r="M29" s="89"/>
      <c r="N29" s="730"/>
      <c r="O29" s="730"/>
      <c r="P29" s="730"/>
      <c r="Q29" s="730"/>
      <c r="R29" s="730"/>
      <c r="S29" s="730"/>
      <c r="T29" s="730"/>
      <c r="U29" s="730"/>
      <c r="V29" s="730"/>
    </row>
    <row r="30" spans="1:22" ht="15.75" x14ac:dyDescent="0.25">
      <c r="A30" s="89"/>
      <c r="B30" s="89"/>
      <c r="C30" s="779"/>
      <c r="D30" s="89"/>
      <c r="E30" s="779" t="s">
        <v>1005</v>
      </c>
      <c r="F30" s="81">
        <f>N18-J18</f>
        <v>3</v>
      </c>
      <c r="G30" s="81">
        <f>V18-N18</f>
        <v>4</v>
      </c>
      <c r="H30" s="81">
        <f>V18-J18</f>
        <v>7</v>
      </c>
      <c r="I30" s="89"/>
      <c r="K30" s="89"/>
      <c r="L30" s="89"/>
      <c r="M30" s="89"/>
      <c r="N30" s="730"/>
      <c r="O30" s="730"/>
      <c r="P30" s="730"/>
      <c r="Q30" s="730"/>
      <c r="R30" s="730"/>
      <c r="S30" s="730"/>
      <c r="T30" s="730"/>
      <c r="U30" s="730"/>
      <c r="V30" s="730"/>
    </row>
    <row r="31" spans="1:22" ht="15.75" x14ac:dyDescent="0.25">
      <c r="A31" s="89"/>
      <c r="B31" s="89"/>
      <c r="C31" s="780"/>
      <c r="D31" s="89"/>
      <c r="F31" s="89"/>
      <c r="G31" s="89"/>
      <c r="H31" s="89"/>
      <c r="I31" s="89"/>
      <c r="J31" s="89"/>
      <c r="K31" s="89"/>
      <c r="L31" s="89"/>
      <c r="M31" s="89"/>
      <c r="N31" s="730"/>
      <c r="O31" s="730"/>
      <c r="P31" s="730"/>
      <c r="Q31" s="730"/>
      <c r="R31" s="730"/>
      <c r="S31" s="730"/>
      <c r="T31" s="730"/>
      <c r="U31" s="730"/>
      <c r="V31" s="730"/>
    </row>
    <row r="32" spans="1:22" ht="15.75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730"/>
      <c r="O32" s="730"/>
      <c r="P32" s="730"/>
      <c r="Q32" s="730"/>
      <c r="R32" s="730"/>
      <c r="S32" s="730"/>
      <c r="T32" s="730"/>
      <c r="U32" s="730"/>
      <c r="V32" s="730"/>
    </row>
    <row r="33" spans="1:24" ht="15.75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730"/>
      <c r="O33" s="730"/>
      <c r="P33" s="730"/>
      <c r="Q33" s="730"/>
      <c r="R33" s="730"/>
      <c r="S33" s="730"/>
      <c r="T33" s="730"/>
      <c r="U33" s="730"/>
      <c r="V33" s="730"/>
    </row>
    <row r="34" spans="1:24" ht="15.75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730"/>
      <c r="O34" s="730"/>
      <c r="P34" s="730"/>
      <c r="Q34" s="730"/>
      <c r="R34" s="730"/>
      <c r="S34" s="730"/>
      <c r="T34" s="730"/>
      <c r="U34" s="730"/>
      <c r="V34" s="730"/>
    </row>
    <row r="35" spans="1:24" ht="15.75" x14ac:dyDescent="0.2">
      <c r="A35" s="898" t="s">
        <v>13</v>
      </c>
      <c r="B35" s="898"/>
      <c r="C35" s="898"/>
      <c r="D35" s="898"/>
      <c r="E35" s="898"/>
      <c r="F35" s="898"/>
      <c r="G35" s="898"/>
      <c r="H35" s="898"/>
      <c r="I35" s="898"/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</row>
    <row r="36" spans="1:24" ht="15.75" x14ac:dyDescent="0.2">
      <c r="A36" s="898" t="s">
        <v>14</v>
      </c>
      <c r="B36" s="898"/>
      <c r="C36" s="898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8"/>
      <c r="S36" s="898"/>
      <c r="T36" s="898"/>
      <c r="U36" s="898"/>
      <c r="V36" s="898"/>
    </row>
    <row r="37" spans="1:24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R37" s="876" t="s">
        <v>84</v>
      </c>
      <c r="S37" s="876"/>
      <c r="T37" s="876"/>
      <c r="V37" s="876"/>
      <c r="W37" s="876"/>
      <c r="X37" s="876"/>
    </row>
  </sheetData>
  <mergeCells count="34">
    <mergeCell ref="V37:X37"/>
    <mergeCell ref="A14:B14"/>
    <mergeCell ref="A25:V25"/>
    <mergeCell ref="N28:V28"/>
    <mergeCell ref="A35:V35"/>
    <mergeCell ref="A36:V36"/>
    <mergeCell ref="A19:B19"/>
    <mergeCell ref="R37:T3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K9:N9"/>
    <mergeCell ref="O9:R9"/>
    <mergeCell ref="S9:V9"/>
    <mergeCell ref="C9:C12"/>
    <mergeCell ref="D9:D12"/>
    <mergeCell ref="E9:E12"/>
    <mergeCell ref="G9:J9"/>
    <mergeCell ref="V10:V12"/>
    <mergeCell ref="S10:U11"/>
    <mergeCell ref="R10:R12"/>
    <mergeCell ref="O10:Q11"/>
    <mergeCell ref="C3:N3"/>
    <mergeCell ref="B5:S5"/>
    <mergeCell ref="U5:V5"/>
    <mergeCell ref="A7:B7"/>
    <mergeCell ref="O7:V7"/>
  </mergeCells>
  <printOptions horizontalCentered="1"/>
  <pageMargins left="0.4" right="0.18" top="0.23622047244094491" bottom="0" header="0.31496062992125984" footer="0.31496062992125984"/>
  <pageSetup paperSize="9" scale="60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T44"/>
  <sheetViews>
    <sheetView topLeftCell="A17" zoomScale="80" zoomScaleNormal="80" zoomScaleSheetLayoutView="100" workbookViewId="0">
      <selection activeCell="C35" sqref="C35"/>
    </sheetView>
  </sheetViews>
  <sheetFormatPr defaultRowHeight="12.75" x14ac:dyDescent="0.2"/>
  <cols>
    <col min="1" max="1" width="5.5703125" style="574" customWidth="1"/>
    <col min="2" max="2" width="21.28515625" style="574" customWidth="1"/>
    <col min="3" max="3" width="12.140625" style="574" customWidth="1"/>
    <col min="4" max="4" width="12.85546875" style="574" customWidth="1"/>
    <col min="5" max="16" width="12.5703125" style="574" customWidth="1"/>
    <col min="17" max="256" width="9.140625" style="574"/>
    <col min="257" max="257" width="5.5703125" style="574" customWidth="1"/>
    <col min="258" max="258" width="21.28515625" style="574" customWidth="1"/>
    <col min="259" max="259" width="12.140625" style="574" customWidth="1"/>
    <col min="260" max="260" width="12.85546875" style="574" customWidth="1"/>
    <col min="261" max="272" width="12.5703125" style="574" customWidth="1"/>
    <col min="273" max="512" width="9.140625" style="574"/>
    <col min="513" max="513" width="5.5703125" style="574" customWidth="1"/>
    <col min="514" max="514" width="21.28515625" style="574" customWidth="1"/>
    <col min="515" max="515" width="12.140625" style="574" customWidth="1"/>
    <col min="516" max="516" width="12.85546875" style="574" customWidth="1"/>
    <col min="517" max="528" width="12.5703125" style="574" customWidth="1"/>
    <col min="529" max="768" width="9.140625" style="574"/>
    <col min="769" max="769" width="5.5703125" style="574" customWidth="1"/>
    <col min="770" max="770" width="21.28515625" style="574" customWidth="1"/>
    <col min="771" max="771" width="12.140625" style="574" customWidth="1"/>
    <col min="772" max="772" width="12.85546875" style="574" customWidth="1"/>
    <col min="773" max="784" width="12.5703125" style="574" customWidth="1"/>
    <col min="785" max="1024" width="9.140625" style="574"/>
    <col min="1025" max="1025" width="5.5703125" style="574" customWidth="1"/>
    <col min="1026" max="1026" width="21.28515625" style="574" customWidth="1"/>
    <col min="1027" max="1027" width="12.140625" style="574" customWidth="1"/>
    <col min="1028" max="1028" width="12.85546875" style="574" customWidth="1"/>
    <col min="1029" max="1040" width="12.5703125" style="574" customWidth="1"/>
    <col min="1041" max="1280" width="9.140625" style="574"/>
    <col min="1281" max="1281" width="5.5703125" style="574" customWidth="1"/>
    <col min="1282" max="1282" width="21.28515625" style="574" customWidth="1"/>
    <col min="1283" max="1283" width="12.140625" style="574" customWidth="1"/>
    <col min="1284" max="1284" width="12.85546875" style="574" customWidth="1"/>
    <col min="1285" max="1296" width="12.5703125" style="574" customWidth="1"/>
    <col min="1297" max="1536" width="9.140625" style="574"/>
    <col min="1537" max="1537" width="5.5703125" style="574" customWidth="1"/>
    <col min="1538" max="1538" width="21.28515625" style="574" customWidth="1"/>
    <col min="1539" max="1539" width="12.140625" style="574" customWidth="1"/>
    <col min="1540" max="1540" width="12.85546875" style="574" customWidth="1"/>
    <col min="1541" max="1552" width="12.5703125" style="574" customWidth="1"/>
    <col min="1553" max="1792" width="9.140625" style="574"/>
    <col min="1793" max="1793" width="5.5703125" style="574" customWidth="1"/>
    <col min="1794" max="1794" width="21.28515625" style="574" customWidth="1"/>
    <col min="1795" max="1795" width="12.140625" style="574" customWidth="1"/>
    <col min="1796" max="1796" width="12.85546875" style="574" customWidth="1"/>
    <col min="1797" max="1808" width="12.5703125" style="574" customWidth="1"/>
    <col min="1809" max="2048" width="9.140625" style="574"/>
    <col min="2049" max="2049" width="5.5703125" style="574" customWidth="1"/>
    <col min="2050" max="2050" width="21.28515625" style="574" customWidth="1"/>
    <col min="2051" max="2051" width="12.140625" style="574" customWidth="1"/>
    <col min="2052" max="2052" width="12.85546875" style="574" customWidth="1"/>
    <col min="2053" max="2064" width="12.5703125" style="574" customWidth="1"/>
    <col min="2065" max="2304" width="9.140625" style="574"/>
    <col min="2305" max="2305" width="5.5703125" style="574" customWidth="1"/>
    <col min="2306" max="2306" width="21.28515625" style="574" customWidth="1"/>
    <col min="2307" max="2307" width="12.140625" style="574" customWidth="1"/>
    <col min="2308" max="2308" width="12.85546875" style="574" customWidth="1"/>
    <col min="2309" max="2320" width="12.5703125" style="574" customWidth="1"/>
    <col min="2321" max="2560" width="9.140625" style="574"/>
    <col min="2561" max="2561" width="5.5703125" style="574" customWidth="1"/>
    <col min="2562" max="2562" width="21.28515625" style="574" customWidth="1"/>
    <col min="2563" max="2563" width="12.140625" style="574" customWidth="1"/>
    <col min="2564" max="2564" width="12.85546875" style="574" customWidth="1"/>
    <col min="2565" max="2576" width="12.5703125" style="574" customWidth="1"/>
    <col min="2577" max="2816" width="9.140625" style="574"/>
    <col min="2817" max="2817" width="5.5703125" style="574" customWidth="1"/>
    <col min="2818" max="2818" width="21.28515625" style="574" customWidth="1"/>
    <col min="2819" max="2819" width="12.140625" style="574" customWidth="1"/>
    <col min="2820" max="2820" width="12.85546875" style="574" customWidth="1"/>
    <col min="2821" max="2832" width="12.5703125" style="574" customWidth="1"/>
    <col min="2833" max="3072" width="9.140625" style="574"/>
    <col min="3073" max="3073" width="5.5703125" style="574" customWidth="1"/>
    <col min="3074" max="3074" width="21.28515625" style="574" customWidth="1"/>
    <col min="3075" max="3075" width="12.140625" style="574" customWidth="1"/>
    <col min="3076" max="3076" width="12.85546875" style="574" customWidth="1"/>
    <col min="3077" max="3088" width="12.5703125" style="574" customWidth="1"/>
    <col min="3089" max="3328" width="9.140625" style="574"/>
    <col min="3329" max="3329" width="5.5703125" style="574" customWidth="1"/>
    <col min="3330" max="3330" width="21.28515625" style="574" customWidth="1"/>
    <col min="3331" max="3331" width="12.140625" style="574" customWidth="1"/>
    <col min="3332" max="3332" width="12.85546875" style="574" customWidth="1"/>
    <col min="3333" max="3344" width="12.5703125" style="574" customWidth="1"/>
    <col min="3345" max="3584" width="9.140625" style="574"/>
    <col min="3585" max="3585" width="5.5703125" style="574" customWidth="1"/>
    <col min="3586" max="3586" width="21.28515625" style="574" customWidth="1"/>
    <col min="3587" max="3587" width="12.140625" style="574" customWidth="1"/>
    <col min="3588" max="3588" width="12.85546875" style="574" customWidth="1"/>
    <col min="3589" max="3600" width="12.5703125" style="574" customWidth="1"/>
    <col min="3601" max="3840" width="9.140625" style="574"/>
    <col min="3841" max="3841" width="5.5703125" style="574" customWidth="1"/>
    <col min="3842" max="3842" width="21.28515625" style="574" customWidth="1"/>
    <col min="3843" max="3843" width="12.140625" style="574" customWidth="1"/>
    <col min="3844" max="3844" width="12.85546875" style="574" customWidth="1"/>
    <col min="3845" max="3856" width="12.5703125" style="574" customWidth="1"/>
    <col min="3857" max="4096" width="9.140625" style="574"/>
    <col min="4097" max="4097" width="5.5703125" style="574" customWidth="1"/>
    <col min="4098" max="4098" width="21.28515625" style="574" customWidth="1"/>
    <col min="4099" max="4099" width="12.140625" style="574" customWidth="1"/>
    <col min="4100" max="4100" width="12.85546875" style="574" customWidth="1"/>
    <col min="4101" max="4112" width="12.5703125" style="574" customWidth="1"/>
    <col min="4113" max="4352" width="9.140625" style="574"/>
    <col min="4353" max="4353" width="5.5703125" style="574" customWidth="1"/>
    <col min="4354" max="4354" width="21.28515625" style="574" customWidth="1"/>
    <col min="4355" max="4355" width="12.140625" style="574" customWidth="1"/>
    <col min="4356" max="4356" width="12.85546875" style="574" customWidth="1"/>
    <col min="4357" max="4368" width="12.5703125" style="574" customWidth="1"/>
    <col min="4369" max="4608" width="9.140625" style="574"/>
    <col min="4609" max="4609" width="5.5703125" style="574" customWidth="1"/>
    <col min="4610" max="4610" width="21.28515625" style="574" customWidth="1"/>
    <col min="4611" max="4611" width="12.140625" style="574" customWidth="1"/>
    <col min="4612" max="4612" width="12.85546875" style="574" customWidth="1"/>
    <col min="4613" max="4624" width="12.5703125" style="574" customWidth="1"/>
    <col min="4625" max="4864" width="9.140625" style="574"/>
    <col min="4865" max="4865" width="5.5703125" style="574" customWidth="1"/>
    <col min="4866" max="4866" width="21.28515625" style="574" customWidth="1"/>
    <col min="4867" max="4867" width="12.140625" style="574" customWidth="1"/>
    <col min="4868" max="4868" width="12.85546875" style="574" customWidth="1"/>
    <col min="4869" max="4880" width="12.5703125" style="574" customWidth="1"/>
    <col min="4881" max="5120" width="9.140625" style="574"/>
    <col min="5121" max="5121" width="5.5703125" style="574" customWidth="1"/>
    <col min="5122" max="5122" width="21.28515625" style="574" customWidth="1"/>
    <col min="5123" max="5123" width="12.140625" style="574" customWidth="1"/>
    <col min="5124" max="5124" width="12.85546875" style="574" customWidth="1"/>
    <col min="5125" max="5136" width="12.5703125" style="574" customWidth="1"/>
    <col min="5137" max="5376" width="9.140625" style="574"/>
    <col min="5377" max="5377" width="5.5703125" style="574" customWidth="1"/>
    <col min="5378" max="5378" width="21.28515625" style="574" customWidth="1"/>
    <col min="5379" max="5379" width="12.140625" style="574" customWidth="1"/>
    <col min="5380" max="5380" width="12.85546875" style="574" customWidth="1"/>
    <col min="5381" max="5392" width="12.5703125" style="574" customWidth="1"/>
    <col min="5393" max="5632" width="9.140625" style="574"/>
    <col min="5633" max="5633" width="5.5703125" style="574" customWidth="1"/>
    <col min="5634" max="5634" width="21.28515625" style="574" customWidth="1"/>
    <col min="5635" max="5635" width="12.140625" style="574" customWidth="1"/>
    <col min="5636" max="5636" width="12.85546875" style="574" customWidth="1"/>
    <col min="5637" max="5648" width="12.5703125" style="574" customWidth="1"/>
    <col min="5649" max="5888" width="9.140625" style="574"/>
    <col min="5889" max="5889" width="5.5703125" style="574" customWidth="1"/>
    <col min="5890" max="5890" width="21.28515625" style="574" customWidth="1"/>
    <col min="5891" max="5891" width="12.140625" style="574" customWidth="1"/>
    <col min="5892" max="5892" width="12.85546875" style="574" customWidth="1"/>
    <col min="5893" max="5904" width="12.5703125" style="574" customWidth="1"/>
    <col min="5905" max="6144" width="9.140625" style="574"/>
    <col min="6145" max="6145" width="5.5703125" style="574" customWidth="1"/>
    <col min="6146" max="6146" width="21.28515625" style="574" customWidth="1"/>
    <col min="6147" max="6147" width="12.140625" style="574" customWidth="1"/>
    <col min="6148" max="6148" width="12.85546875" style="574" customWidth="1"/>
    <col min="6149" max="6160" width="12.5703125" style="574" customWidth="1"/>
    <col min="6161" max="6400" width="9.140625" style="574"/>
    <col min="6401" max="6401" width="5.5703125" style="574" customWidth="1"/>
    <col min="6402" max="6402" width="21.28515625" style="574" customWidth="1"/>
    <col min="6403" max="6403" width="12.140625" style="574" customWidth="1"/>
    <col min="6404" max="6404" width="12.85546875" style="574" customWidth="1"/>
    <col min="6405" max="6416" width="12.5703125" style="574" customWidth="1"/>
    <col min="6417" max="6656" width="9.140625" style="574"/>
    <col min="6657" max="6657" width="5.5703125" style="574" customWidth="1"/>
    <col min="6658" max="6658" width="21.28515625" style="574" customWidth="1"/>
    <col min="6659" max="6659" width="12.140625" style="574" customWidth="1"/>
    <col min="6660" max="6660" width="12.85546875" style="574" customWidth="1"/>
    <col min="6661" max="6672" width="12.5703125" style="574" customWidth="1"/>
    <col min="6673" max="6912" width="9.140625" style="574"/>
    <col min="6913" max="6913" width="5.5703125" style="574" customWidth="1"/>
    <col min="6914" max="6914" width="21.28515625" style="574" customWidth="1"/>
    <col min="6915" max="6915" width="12.140625" style="574" customWidth="1"/>
    <col min="6916" max="6916" width="12.85546875" style="574" customWidth="1"/>
    <col min="6917" max="6928" width="12.5703125" style="574" customWidth="1"/>
    <col min="6929" max="7168" width="9.140625" style="574"/>
    <col min="7169" max="7169" width="5.5703125" style="574" customWidth="1"/>
    <col min="7170" max="7170" width="21.28515625" style="574" customWidth="1"/>
    <col min="7171" max="7171" width="12.140625" style="574" customWidth="1"/>
    <col min="7172" max="7172" width="12.85546875" style="574" customWidth="1"/>
    <col min="7173" max="7184" width="12.5703125" style="574" customWidth="1"/>
    <col min="7185" max="7424" width="9.140625" style="574"/>
    <col min="7425" max="7425" width="5.5703125" style="574" customWidth="1"/>
    <col min="7426" max="7426" width="21.28515625" style="574" customWidth="1"/>
    <col min="7427" max="7427" width="12.140625" style="574" customWidth="1"/>
    <col min="7428" max="7428" width="12.85546875" style="574" customWidth="1"/>
    <col min="7429" max="7440" width="12.5703125" style="574" customWidth="1"/>
    <col min="7441" max="7680" width="9.140625" style="574"/>
    <col min="7681" max="7681" width="5.5703125" style="574" customWidth="1"/>
    <col min="7682" max="7682" width="21.28515625" style="574" customWidth="1"/>
    <col min="7683" max="7683" width="12.140625" style="574" customWidth="1"/>
    <col min="7684" max="7684" width="12.85546875" style="574" customWidth="1"/>
    <col min="7685" max="7696" width="12.5703125" style="574" customWidth="1"/>
    <col min="7697" max="7936" width="9.140625" style="574"/>
    <col min="7937" max="7937" width="5.5703125" style="574" customWidth="1"/>
    <col min="7938" max="7938" width="21.28515625" style="574" customWidth="1"/>
    <col min="7939" max="7939" width="12.140625" style="574" customWidth="1"/>
    <col min="7940" max="7940" width="12.85546875" style="574" customWidth="1"/>
    <col min="7941" max="7952" width="12.5703125" style="574" customWidth="1"/>
    <col min="7953" max="8192" width="9.140625" style="574"/>
    <col min="8193" max="8193" width="5.5703125" style="574" customWidth="1"/>
    <col min="8194" max="8194" width="21.28515625" style="574" customWidth="1"/>
    <col min="8195" max="8195" width="12.140625" style="574" customWidth="1"/>
    <col min="8196" max="8196" width="12.85546875" style="574" customWidth="1"/>
    <col min="8197" max="8208" width="12.5703125" style="574" customWidth="1"/>
    <col min="8209" max="8448" width="9.140625" style="574"/>
    <col min="8449" max="8449" width="5.5703125" style="574" customWidth="1"/>
    <col min="8450" max="8450" width="21.28515625" style="574" customWidth="1"/>
    <col min="8451" max="8451" width="12.140625" style="574" customWidth="1"/>
    <col min="8452" max="8452" width="12.85546875" style="574" customWidth="1"/>
    <col min="8453" max="8464" width="12.5703125" style="574" customWidth="1"/>
    <col min="8465" max="8704" width="9.140625" style="574"/>
    <col min="8705" max="8705" width="5.5703125" style="574" customWidth="1"/>
    <col min="8706" max="8706" width="21.28515625" style="574" customWidth="1"/>
    <col min="8707" max="8707" width="12.140625" style="574" customWidth="1"/>
    <col min="8708" max="8708" width="12.85546875" style="574" customWidth="1"/>
    <col min="8709" max="8720" width="12.5703125" style="574" customWidth="1"/>
    <col min="8721" max="8960" width="9.140625" style="574"/>
    <col min="8961" max="8961" width="5.5703125" style="574" customWidth="1"/>
    <col min="8962" max="8962" width="21.28515625" style="574" customWidth="1"/>
    <col min="8963" max="8963" width="12.140625" style="574" customWidth="1"/>
    <col min="8964" max="8964" width="12.85546875" style="574" customWidth="1"/>
    <col min="8965" max="8976" width="12.5703125" style="574" customWidth="1"/>
    <col min="8977" max="9216" width="9.140625" style="574"/>
    <col min="9217" max="9217" width="5.5703125" style="574" customWidth="1"/>
    <col min="9218" max="9218" width="21.28515625" style="574" customWidth="1"/>
    <col min="9219" max="9219" width="12.140625" style="574" customWidth="1"/>
    <col min="9220" max="9220" width="12.85546875" style="574" customWidth="1"/>
    <col min="9221" max="9232" width="12.5703125" style="574" customWidth="1"/>
    <col min="9233" max="9472" width="9.140625" style="574"/>
    <col min="9473" max="9473" width="5.5703125" style="574" customWidth="1"/>
    <col min="9474" max="9474" width="21.28515625" style="574" customWidth="1"/>
    <col min="9475" max="9475" width="12.140625" style="574" customWidth="1"/>
    <col min="9476" max="9476" width="12.85546875" style="574" customWidth="1"/>
    <col min="9477" max="9488" width="12.5703125" style="574" customWidth="1"/>
    <col min="9489" max="9728" width="9.140625" style="574"/>
    <col min="9729" max="9729" width="5.5703125" style="574" customWidth="1"/>
    <col min="9730" max="9730" width="21.28515625" style="574" customWidth="1"/>
    <col min="9731" max="9731" width="12.140625" style="574" customWidth="1"/>
    <col min="9732" max="9732" width="12.85546875" style="574" customWidth="1"/>
    <col min="9733" max="9744" width="12.5703125" style="574" customWidth="1"/>
    <col min="9745" max="9984" width="9.140625" style="574"/>
    <col min="9985" max="9985" width="5.5703125" style="574" customWidth="1"/>
    <col min="9986" max="9986" width="21.28515625" style="574" customWidth="1"/>
    <col min="9987" max="9987" width="12.140625" style="574" customWidth="1"/>
    <col min="9988" max="9988" width="12.85546875" style="574" customWidth="1"/>
    <col min="9989" max="10000" width="12.5703125" style="574" customWidth="1"/>
    <col min="10001" max="10240" width="9.140625" style="574"/>
    <col min="10241" max="10241" width="5.5703125" style="574" customWidth="1"/>
    <col min="10242" max="10242" width="21.28515625" style="574" customWidth="1"/>
    <col min="10243" max="10243" width="12.140625" style="574" customWidth="1"/>
    <col min="10244" max="10244" width="12.85546875" style="574" customWidth="1"/>
    <col min="10245" max="10256" width="12.5703125" style="574" customWidth="1"/>
    <col min="10257" max="10496" width="9.140625" style="574"/>
    <col min="10497" max="10497" width="5.5703125" style="574" customWidth="1"/>
    <col min="10498" max="10498" width="21.28515625" style="574" customWidth="1"/>
    <col min="10499" max="10499" width="12.140625" style="574" customWidth="1"/>
    <col min="10500" max="10500" width="12.85546875" style="574" customWidth="1"/>
    <col min="10501" max="10512" width="12.5703125" style="574" customWidth="1"/>
    <col min="10513" max="10752" width="9.140625" style="574"/>
    <col min="10753" max="10753" width="5.5703125" style="574" customWidth="1"/>
    <col min="10754" max="10754" width="21.28515625" style="574" customWidth="1"/>
    <col min="10755" max="10755" width="12.140625" style="574" customWidth="1"/>
    <col min="10756" max="10756" width="12.85546875" style="574" customWidth="1"/>
    <col min="10757" max="10768" width="12.5703125" style="574" customWidth="1"/>
    <col min="10769" max="11008" width="9.140625" style="574"/>
    <col min="11009" max="11009" width="5.5703125" style="574" customWidth="1"/>
    <col min="11010" max="11010" width="21.28515625" style="574" customWidth="1"/>
    <col min="11011" max="11011" width="12.140625" style="574" customWidth="1"/>
    <col min="11012" max="11012" width="12.85546875" style="574" customWidth="1"/>
    <col min="11013" max="11024" width="12.5703125" style="574" customWidth="1"/>
    <col min="11025" max="11264" width="9.140625" style="574"/>
    <col min="11265" max="11265" width="5.5703125" style="574" customWidth="1"/>
    <col min="11266" max="11266" width="21.28515625" style="574" customWidth="1"/>
    <col min="11267" max="11267" width="12.140625" style="574" customWidth="1"/>
    <col min="11268" max="11268" width="12.85546875" style="574" customWidth="1"/>
    <col min="11269" max="11280" width="12.5703125" style="574" customWidth="1"/>
    <col min="11281" max="11520" width="9.140625" style="574"/>
    <col min="11521" max="11521" width="5.5703125" style="574" customWidth="1"/>
    <col min="11522" max="11522" width="21.28515625" style="574" customWidth="1"/>
    <col min="11523" max="11523" width="12.140625" style="574" customWidth="1"/>
    <col min="11524" max="11524" width="12.85546875" style="574" customWidth="1"/>
    <col min="11525" max="11536" width="12.5703125" style="574" customWidth="1"/>
    <col min="11537" max="11776" width="9.140625" style="574"/>
    <col min="11777" max="11777" width="5.5703125" style="574" customWidth="1"/>
    <col min="11778" max="11778" width="21.28515625" style="574" customWidth="1"/>
    <col min="11779" max="11779" width="12.140625" style="574" customWidth="1"/>
    <col min="11780" max="11780" width="12.85546875" style="574" customWidth="1"/>
    <col min="11781" max="11792" width="12.5703125" style="574" customWidth="1"/>
    <col min="11793" max="12032" width="9.140625" style="574"/>
    <col min="12033" max="12033" width="5.5703125" style="574" customWidth="1"/>
    <col min="12034" max="12034" width="21.28515625" style="574" customWidth="1"/>
    <col min="12035" max="12035" width="12.140625" style="574" customWidth="1"/>
    <col min="12036" max="12036" width="12.85546875" style="574" customWidth="1"/>
    <col min="12037" max="12048" width="12.5703125" style="574" customWidth="1"/>
    <col min="12049" max="12288" width="9.140625" style="574"/>
    <col min="12289" max="12289" width="5.5703125" style="574" customWidth="1"/>
    <col min="12290" max="12290" width="21.28515625" style="574" customWidth="1"/>
    <col min="12291" max="12291" width="12.140625" style="574" customWidth="1"/>
    <col min="12292" max="12292" width="12.85546875" style="574" customWidth="1"/>
    <col min="12293" max="12304" width="12.5703125" style="574" customWidth="1"/>
    <col min="12305" max="12544" width="9.140625" style="574"/>
    <col min="12545" max="12545" width="5.5703125" style="574" customWidth="1"/>
    <col min="12546" max="12546" width="21.28515625" style="574" customWidth="1"/>
    <col min="12547" max="12547" width="12.140625" style="574" customWidth="1"/>
    <col min="12548" max="12548" width="12.85546875" style="574" customWidth="1"/>
    <col min="12549" max="12560" width="12.5703125" style="574" customWidth="1"/>
    <col min="12561" max="12800" width="9.140625" style="574"/>
    <col min="12801" max="12801" width="5.5703125" style="574" customWidth="1"/>
    <col min="12802" max="12802" width="21.28515625" style="574" customWidth="1"/>
    <col min="12803" max="12803" width="12.140625" style="574" customWidth="1"/>
    <col min="12804" max="12804" width="12.85546875" style="574" customWidth="1"/>
    <col min="12805" max="12816" width="12.5703125" style="574" customWidth="1"/>
    <col min="12817" max="13056" width="9.140625" style="574"/>
    <col min="13057" max="13057" width="5.5703125" style="574" customWidth="1"/>
    <col min="13058" max="13058" width="21.28515625" style="574" customWidth="1"/>
    <col min="13059" max="13059" width="12.140625" style="574" customWidth="1"/>
    <col min="13060" max="13060" width="12.85546875" style="574" customWidth="1"/>
    <col min="13061" max="13072" width="12.5703125" style="574" customWidth="1"/>
    <col min="13073" max="13312" width="9.140625" style="574"/>
    <col min="13313" max="13313" width="5.5703125" style="574" customWidth="1"/>
    <col min="13314" max="13314" width="21.28515625" style="574" customWidth="1"/>
    <col min="13315" max="13315" width="12.140625" style="574" customWidth="1"/>
    <col min="13316" max="13316" width="12.85546875" style="574" customWidth="1"/>
    <col min="13317" max="13328" width="12.5703125" style="574" customWidth="1"/>
    <col min="13329" max="13568" width="9.140625" style="574"/>
    <col min="13569" max="13569" width="5.5703125" style="574" customWidth="1"/>
    <col min="13570" max="13570" width="21.28515625" style="574" customWidth="1"/>
    <col min="13571" max="13571" width="12.140625" style="574" customWidth="1"/>
    <col min="13572" max="13572" width="12.85546875" style="574" customWidth="1"/>
    <col min="13573" max="13584" width="12.5703125" style="574" customWidth="1"/>
    <col min="13585" max="13824" width="9.140625" style="574"/>
    <col min="13825" max="13825" width="5.5703125" style="574" customWidth="1"/>
    <col min="13826" max="13826" width="21.28515625" style="574" customWidth="1"/>
    <col min="13827" max="13827" width="12.140625" style="574" customWidth="1"/>
    <col min="13828" max="13828" width="12.85546875" style="574" customWidth="1"/>
    <col min="13829" max="13840" width="12.5703125" style="574" customWidth="1"/>
    <col min="13841" max="14080" width="9.140625" style="574"/>
    <col min="14081" max="14081" width="5.5703125" style="574" customWidth="1"/>
    <col min="14082" max="14082" width="21.28515625" style="574" customWidth="1"/>
    <col min="14083" max="14083" width="12.140625" style="574" customWidth="1"/>
    <col min="14084" max="14084" width="12.85546875" style="574" customWidth="1"/>
    <col min="14085" max="14096" width="12.5703125" style="574" customWidth="1"/>
    <col min="14097" max="14336" width="9.140625" style="574"/>
    <col min="14337" max="14337" width="5.5703125" style="574" customWidth="1"/>
    <col min="14338" max="14338" width="21.28515625" style="574" customWidth="1"/>
    <col min="14339" max="14339" width="12.140625" style="574" customWidth="1"/>
    <col min="14340" max="14340" width="12.85546875" style="574" customWidth="1"/>
    <col min="14341" max="14352" width="12.5703125" style="574" customWidth="1"/>
    <col min="14353" max="14592" width="9.140625" style="574"/>
    <col min="14593" max="14593" width="5.5703125" style="574" customWidth="1"/>
    <col min="14594" max="14594" width="21.28515625" style="574" customWidth="1"/>
    <col min="14595" max="14595" width="12.140625" style="574" customWidth="1"/>
    <col min="14596" max="14596" width="12.85546875" style="574" customWidth="1"/>
    <col min="14597" max="14608" width="12.5703125" style="574" customWidth="1"/>
    <col min="14609" max="14848" width="9.140625" style="574"/>
    <col min="14849" max="14849" width="5.5703125" style="574" customWidth="1"/>
    <col min="14850" max="14850" width="21.28515625" style="574" customWidth="1"/>
    <col min="14851" max="14851" width="12.140625" style="574" customWidth="1"/>
    <col min="14852" max="14852" width="12.85546875" style="574" customWidth="1"/>
    <col min="14853" max="14864" width="12.5703125" style="574" customWidth="1"/>
    <col min="14865" max="15104" width="9.140625" style="574"/>
    <col min="15105" max="15105" width="5.5703125" style="574" customWidth="1"/>
    <col min="15106" max="15106" width="21.28515625" style="574" customWidth="1"/>
    <col min="15107" max="15107" width="12.140625" style="574" customWidth="1"/>
    <col min="15108" max="15108" width="12.85546875" style="574" customWidth="1"/>
    <col min="15109" max="15120" width="12.5703125" style="574" customWidth="1"/>
    <col min="15121" max="15360" width="9.140625" style="574"/>
    <col min="15361" max="15361" width="5.5703125" style="574" customWidth="1"/>
    <col min="15362" max="15362" width="21.28515625" style="574" customWidth="1"/>
    <col min="15363" max="15363" width="12.140625" style="574" customWidth="1"/>
    <col min="15364" max="15364" width="12.85546875" style="574" customWidth="1"/>
    <col min="15365" max="15376" width="12.5703125" style="574" customWidth="1"/>
    <col min="15377" max="15616" width="9.140625" style="574"/>
    <col min="15617" max="15617" width="5.5703125" style="574" customWidth="1"/>
    <col min="15618" max="15618" width="21.28515625" style="574" customWidth="1"/>
    <col min="15619" max="15619" width="12.140625" style="574" customWidth="1"/>
    <col min="15620" max="15620" width="12.85546875" style="574" customWidth="1"/>
    <col min="15621" max="15632" width="12.5703125" style="574" customWidth="1"/>
    <col min="15633" max="15872" width="9.140625" style="574"/>
    <col min="15873" max="15873" width="5.5703125" style="574" customWidth="1"/>
    <col min="15874" max="15874" width="21.28515625" style="574" customWidth="1"/>
    <col min="15875" max="15875" width="12.140625" style="574" customWidth="1"/>
    <col min="15876" max="15876" width="12.85546875" style="574" customWidth="1"/>
    <col min="15877" max="15888" width="12.5703125" style="574" customWidth="1"/>
    <col min="15889" max="16128" width="9.140625" style="574"/>
    <col min="16129" max="16129" width="5.5703125" style="574" customWidth="1"/>
    <col min="16130" max="16130" width="21.28515625" style="574" customWidth="1"/>
    <col min="16131" max="16131" width="12.140625" style="574" customWidth="1"/>
    <col min="16132" max="16132" width="12.85546875" style="574" customWidth="1"/>
    <col min="16133" max="16144" width="12.5703125" style="574" customWidth="1"/>
    <col min="16145" max="16384" width="9.140625" style="574"/>
  </cols>
  <sheetData>
    <row r="1" spans="1:20" ht="12.75" customHeight="1" x14ac:dyDescent="0.2">
      <c r="D1" s="1123"/>
      <c r="E1" s="1123"/>
      <c r="M1" s="1124"/>
      <c r="N1" s="1124"/>
      <c r="O1" s="1124" t="s">
        <v>531</v>
      </c>
      <c r="P1" s="1124"/>
    </row>
    <row r="2" spans="1:20" ht="15.75" x14ac:dyDescent="0.25">
      <c r="A2" s="1125" t="s">
        <v>0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</row>
    <row r="3" spans="1:20" ht="18" x14ac:dyDescent="0.25">
      <c r="A3" s="1126" t="s">
        <v>740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</row>
    <row r="4" spans="1:20" ht="12.75" customHeight="1" x14ac:dyDescent="0.2">
      <c r="A4" s="1127" t="s">
        <v>750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</row>
    <row r="5" spans="1:20" s="575" customFormat="1" ht="7.5" customHeight="1" x14ac:dyDescent="0.2">
      <c r="A5" s="1127"/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</row>
    <row r="6" spans="1:20" x14ac:dyDescent="0.2">
      <c r="A6" s="1122"/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</row>
    <row r="7" spans="1:20" ht="15.75" x14ac:dyDescent="0.25">
      <c r="A7" s="1129" t="s">
        <v>920</v>
      </c>
      <c r="B7" s="1129"/>
      <c r="D7" s="576"/>
      <c r="H7" s="1113"/>
      <c r="I7" s="1113"/>
      <c r="J7" s="1113"/>
      <c r="K7" s="1113"/>
      <c r="L7" s="1113"/>
      <c r="M7" s="1113"/>
      <c r="N7" s="1113"/>
    </row>
    <row r="8" spans="1:20" ht="39" customHeight="1" x14ac:dyDescent="0.2">
      <c r="A8" s="1114" t="s">
        <v>2</v>
      </c>
      <c r="B8" s="1114" t="s">
        <v>3</v>
      </c>
      <c r="C8" s="1132" t="s">
        <v>483</v>
      </c>
      <c r="D8" s="1118" t="s">
        <v>85</v>
      </c>
      <c r="E8" s="1115" t="s">
        <v>86</v>
      </c>
      <c r="F8" s="1116"/>
      <c r="G8" s="1116"/>
      <c r="H8" s="1117"/>
      <c r="I8" s="1114" t="s">
        <v>646</v>
      </c>
      <c r="J8" s="1114"/>
      <c r="K8" s="1114"/>
      <c r="L8" s="1114"/>
      <c r="M8" s="1114"/>
      <c r="N8" s="1114"/>
      <c r="O8" s="1120" t="s">
        <v>702</v>
      </c>
      <c r="P8" s="1120"/>
    </row>
    <row r="9" spans="1:20" ht="44.45" customHeight="1" x14ac:dyDescent="0.2">
      <c r="A9" s="1114"/>
      <c r="B9" s="1114"/>
      <c r="C9" s="1133"/>
      <c r="D9" s="1119"/>
      <c r="E9" s="577" t="s">
        <v>91</v>
      </c>
      <c r="F9" s="577" t="s">
        <v>21</v>
      </c>
      <c r="G9" s="577" t="s">
        <v>42</v>
      </c>
      <c r="H9" s="577" t="s">
        <v>681</v>
      </c>
      <c r="I9" s="577" t="s">
        <v>18</v>
      </c>
      <c r="J9" s="577" t="s">
        <v>943</v>
      </c>
      <c r="K9" s="577" t="s">
        <v>944</v>
      </c>
      <c r="L9" s="577" t="s">
        <v>649</v>
      </c>
      <c r="M9" s="577" t="s">
        <v>650</v>
      </c>
      <c r="N9" s="577" t="s">
        <v>651</v>
      </c>
      <c r="O9" s="577" t="s">
        <v>708</v>
      </c>
      <c r="P9" s="577" t="s">
        <v>706</v>
      </c>
    </row>
    <row r="10" spans="1:20" s="606" customFormat="1" ht="15.75" x14ac:dyDescent="0.2">
      <c r="A10" s="605">
        <v>1</v>
      </c>
      <c r="B10" s="605">
        <v>2</v>
      </c>
      <c r="C10" s="605">
        <v>3</v>
      </c>
      <c r="D10" s="605">
        <v>4</v>
      </c>
      <c r="E10" s="605">
        <v>5</v>
      </c>
      <c r="F10" s="605">
        <v>6</v>
      </c>
      <c r="G10" s="605">
        <v>7</v>
      </c>
      <c r="H10" s="605">
        <v>8</v>
      </c>
      <c r="I10" s="605">
        <v>9</v>
      </c>
      <c r="J10" s="605">
        <v>10</v>
      </c>
      <c r="K10" s="605">
        <v>11</v>
      </c>
      <c r="L10" s="605">
        <v>12</v>
      </c>
      <c r="M10" s="605">
        <v>13</v>
      </c>
      <c r="N10" s="605">
        <v>14</v>
      </c>
      <c r="O10" s="605">
        <v>15</v>
      </c>
      <c r="P10" s="605">
        <v>16</v>
      </c>
      <c r="Q10" s="586"/>
      <c r="R10" s="586"/>
      <c r="S10" s="586"/>
      <c r="T10" s="586"/>
    </row>
    <row r="11" spans="1:20" s="586" customFormat="1" ht="15.75" x14ac:dyDescent="0.25">
      <c r="A11" s="581">
        <v>1</v>
      </c>
      <c r="B11" s="582" t="s">
        <v>896</v>
      </c>
      <c r="C11" s="607">
        <v>564</v>
      </c>
      <c r="D11" s="582">
        <v>310</v>
      </c>
      <c r="E11" s="599">
        <f>F11</f>
        <v>26.225999999999999</v>
      </c>
      <c r="F11" s="599">
        <f>C11*D11*0.00015</f>
        <v>26.225999999999999</v>
      </c>
      <c r="G11" s="582"/>
      <c r="H11" s="582"/>
      <c r="I11" s="584">
        <f>J11+K11</f>
        <v>5.2452000000000005</v>
      </c>
      <c r="J11" s="584">
        <f>C11*D11*0.000015</f>
        <v>2.6226000000000003</v>
      </c>
      <c r="K11" s="584">
        <f>C11*D11*0.000015</f>
        <v>2.6226000000000003</v>
      </c>
      <c r="L11" s="582"/>
      <c r="M11" s="582"/>
      <c r="N11" s="582"/>
      <c r="O11" s="585">
        <v>117.5</v>
      </c>
      <c r="P11" s="584">
        <f>F11*1175/100000</f>
        <v>0.30815549999999997</v>
      </c>
    </row>
    <row r="12" spans="1:20" s="586" customFormat="1" ht="15.75" x14ac:dyDescent="0.25">
      <c r="A12" s="581">
        <v>2</v>
      </c>
      <c r="B12" s="582" t="s">
        <v>897</v>
      </c>
      <c r="C12" s="607">
        <v>0</v>
      </c>
      <c r="D12" s="582">
        <v>310</v>
      </c>
      <c r="E12" s="599">
        <f t="shared" ref="E12:E34" si="0">F12</f>
        <v>0</v>
      </c>
      <c r="F12" s="599">
        <f t="shared" ref="F12:F34" si="1">C12*D12*0.00015</f>
        <v>0</v>
      </c>
      <c r="G12" s="582"/>
      <c r="H12" s="582"/>
      <c r="I12" s="584">
        <f t="shared" ref="I12:I34" si="2">J12+K12</f>
        <v>0</v>
      </c>
      <c r="J12" s="584">
        <f t="shared" ref="J12:J34" si="3">C12*D12*0.000015</f>
        <v>0</v>
      </c>
      <c r="K12" s="584">
        <f t="shared" ref="K12:K34" si="4">C12*D12*0.000015</f>
        <v>0</v>
      </c>
      <c r="L12" s="582"/>
      <c r="M12" s="582"/>
      <c r="N12" s="582"/>
      <c r="O12" s="585">
        <v>117.5</v>
      </c>
      <c r="P12" s="584">
        <f t="shared" ref="P12:P34" si="5">F12*1175/100000</f>
        <v>0</v>
      </c>
    </row>
    <row r="13" spans="1:20" s="586" customFormat="1" ht="15.75" x14ac:dyDescent="0.25">
      <c r="A13" s="581">
        <v>3</v>
      </c>
      <c r="B13" s="582" t="s">
        <v>898</v>
      </c>
      <c r="C13" s="607">
        <v>0</v>
      </c>
      <c r="D13" s="582">
        <v>310</v>
      </c>
      <c r="E13" s="599">
        <f t="shared" si="0"/>
        <v>0</v>
      </c>
      <c r="F13" s="599">
        <f t="shared" si="1"/>
        <v>0</v>
      </c>
      <c r="G13" s="582"/>
      <c r="H13" s="582"/>
      <c r="I13" s="584">
        <f t="shared" si="2"/>
        <v>0</v>
      </c>
      <c r="J13" s="584">
        <f t="shared" si="3"/>
        <v>0</v>
      </c>
      <c r="K13" s="584">
        <f t="shared" si="4"/>
        <v>0</v>
      </c>
      <c r="L13" s="582"/>
      <c r="M13" s="582"/>
      <c r="N13" s="582"/>
      <c r="O13" s="585">
        <v>117.5</v>
      </c>
      <c r="P13" s="584">
        <f t="shared" si="5"/>
        <v>0</v>
      </c>
    </row>
    <row r="14" spans="1:20" s="586" customFormat="1" ht="15.75" x14ac:dyDescent="0.25">
      <c r="A14" s="581">
        <v>4</v>
      </c>
      <c r="B14" s="582" t="s">
        <v>899</v>
      </c>
      <c r="C14" s="607">
        <v>0</v>
      </c>
      <c r="D14" s="582">
        <v>310</v>
      </c>
      <c r="E14" s="599">
        <f t="shared" si="0"/>
        <v>0</v>
      </c>
      <c r="F14" s="599">
        <f t="shared" si="1"/>
        <v>0</v>
      </c>
      <c r="G14" s="582"/>
      <c r="H14" s="582"/>
      <c r="I14" s="584">
        <f t="shared" si="2"/>
        <v>0</v>
      </c>
      <c r="J14" s="584">
        <f t="shared" si="3"/>
        <v>0</v>
      </c>
      <c r="K14" s="584">
        <f t="shared" si="4"/>
        <v>0</v>
      </c>
      <c r="L14" s="582"/>
      <c r="M14" s="582"/>
      <c r="N14" s="582"/>
      <c r="O14" s="585">
        <v>117.5</v>
      </c>
      <c r="P14" s="584">
        <f t="shared" si="5"/>
        <v>0</v>
      </c>
    </row>
    <row r="15" spans="1:20" s="586" customFormat="1" ht="15.75" x14ac:dyDescent="0.25">
      <c r="A15" s="581">
        <v>5</v>
      </c>
      <c r="B15" s="582" t="s">
        <v>900</v>
      </c>
      <c r="C15" s="607">
        <v>0</v>
      </c>
      <c r="D15" s="582">
        <v>310</v>
      </c>
      <c r="E15" s="599">
        <f t="shared" si="0"/>
        <v>0</v>
      </c>
      <c r="F15" s="599">
        <f t="shared" si="1"/>
        <v>0</v>
      </c>
      <c r="G15" s="582"/>
      <c r="H15" s="582"/>
      <c r="I15" s="584">
        <f t="shared" si="2"/>
        <v>0</v>
      </c>
      <c r="J15" s="584">
        <f t="shared" si="3"/>
        <v>0</v>
      </c>
      <c r="K15" s="584">
        <f t="shared" si="4"/>
        <v>0</v>
      </c>
      <c r="L15" s="582"/>
      <c r="M15" s="582"/>
      <c r="N15" s="582"/>
      <c r="O15" s="585">
        <v>117.5</v>
      </c>
      <c r="P15" s="584">
        <f t="shared" si="5"/>
        <v>0</v>
      </c>
    </row>
    <row r="16" spans="1:20" s="586" customFormat="1" ht="15.75" x14ac:dyDescent="0.25">
      <c r="A16" s="581">
        <v>6</v>
      </c>
      <c r="B16" s="582" t="s">
        <v>901</v>
      </c>
      <c r="C16" s="607">
        <v>0</v>
      </c>
      <c r="D16" s="582">
        <v>310</v>
      </c>
      <c r="E16" s="599">
        <f t="shared" si="0"/>
        <v>0</v>
      </c>
      <c r="F16" s="599">
        <f t="shared" si="1"/>
        <v>0</v>
      </c>
      <c r="G16" s="582"/>
      <c r="H16" s="582"/>
      <c r="I16" s="584">
        <f t="shared" si="2"/>
        <v>0</v>
      </c>
      <c r="J16" s="584">
        <f t="shared" si="3"/>
        <v>0</v>
      </c>
      <c r="K16" s="584">
        <f t="shared" si="4"/>
        <v>0</v>
      </c>
      <c r="L16" s="582"/>
      <c r="M16" s="582"/>
      <c r="N16" s="582"/>
      <c r="O16" s="585">
        <v>117.5</v>
      </c>
      <c r="P16" s="584">
        <f t="shared" si="5"/>
        <v>0</v>
      </c>
    </row>
    <row r="17" spans="1:16" s="586" customFormat="1" ht="15.75" x14ac:dyDescent="0.25">
      <c r="A17" s="581">
        <v>7</v>
      </c>
      <c r="B17" s="582" t="s">
        <v>902</v>
      </c>
      <c r="C17" s="607">
        <v>0</v>
      </c>
      <c r="D17" s="582">
        <v>310</v>
      </c>
      <c r="E17" s="599">
        <f t="shared" si="0"/>
        <v>0</v>
      </c>
      <c r="F17" s="599">
        <f t="shared" si="1"/>
        <v>0</v>
      </c>
      <c r="G17" s="582"/>
      <c r="H17" s="582"/>
      <c r="I17" s="584">
        <f t="shared" si="2"/>
        <v>0</v>
      </c>
      <c r="J17" s="584">
        <f t="shared" si="3"/>
        <v>0</v>
      </c>
      <c r="K17" s="584">
        <f t="shared" si="4"/>
        <v>0</v>
      </c>
      <c r="L17" s="582"/>
      <c r="M17" s="582"/>
      <c r="N17" s="582"/>
      <c r="O17" s="585">
        <v>117.5</v>
      </c>
      <c r="P17" s="584">
        <f t="shared" si="5"/>
        <v>0</v>
      </c>
    </row>
    <row r="18" spans="1:16" s="586" customFormat="1" ht="15.75" x14ac:dyDescent="0.25">
      <c r="A18" s="581">
        <v>8</v>
      </c>
      <c r="B18" s="582" t="s">
        <v>903</v>
      </c>
      <c r="C18" s="607">
        <v>408</v>
      </c>
      <c r="D18" s="582">
        <v>310</v>
      </c>
      <c r="E18" s="599">
        <f t="shared" si="0"/>
        <v>18.971999999999998</v>
      </c>
      <c r="F18" s="599">
        <f t="shared" si="1"/>
        <v>18.971999999999998</v>
      </c>
      <c r="G18" s="582"/>
      <c r="H18" s="582"/>
      <c r="I18" s="584">
        <f t="shared" si="2"/>
        <v>3.7944</v>
      </c>
      <c r="J18" s="584">
        <f t="shared" si="3"/>
        <v>1.8972</v>
      </c>
      <c r="K18" s="584">
        <f t="shared" si="4"/>
        <v>1.8972</v>
      </c>
      <c r="L18" s="582"/>
      <c r="M18" s="582"/>
      <c r="N18" s="582"/>
      <c r="O18" s="585">
        <v>117.5</v>
      </c>
      <c r="P18" s="584">
        <f t="shared" si="5"/>
        <v>0.22292099999999998</v>
      </c>
    </row>
    <row r="19" spans="1:16" s="586" customFormat="1" ht="15.75" x14ac:dyDescent="0.25">
      <c r="A19" s="581">
        <v>9</v>
      </c>
      <c r="B19" s="582" t="s">
        <v>904</v>
      </c>
      <c r="C19" s="607">
        <v>0</v>
      </c>
      <c r="D19" s="582">
        <v>310</v>
      </c>
      <c r="E19" s="599">
        <f t="shared" si="0"/>
        <v>0</v>
      </c>
      <c r="F19" s="599">
        <f t="shared" si="1"/>
        <v>0</v>
      </c>
      <c r="G19" s="582"/>
      <c r="H19" s="582"/>
      <c r="I19" s="584">
        <f t="shared" si="2"/>
        <v>0</v>
      </c>
      <c r="J19" s="584">
        <f t="shared" si="3"/>
        <v>0</v>
      </c>
      <c r="K19" s="584">
        <f t="shared" si="4"/>
        <v>0</v>
      </c>
      <c r="L19" s="582"/>
      <c r="M19" s="582"/>
      <c r="N19" s="582"/>
      <c r="O19" s="585">
        <v>117.5</v>
      </c>
      <c r="P19" s="584">
        <f t="shared" si="5"/>
        <v>0</v>
      </c>
    </row>
    <row r="20" spans="1:16" s="586" customFormat="1" ht="15.75" x14ac:dyDescent="0.25">
      <c r="A20" s="581">
        <v>10</v>
      </c>
      <c r="B20" s="582" t="s">
        <v>905</v>
      </c>
      <c r="C20" s="607">
        <v>0</v>
      </c>
      <c r="D20" s="582">
        <v>310</v>
      </c>
      <c r="E20" s="599">
        <f t="shared" si="0"/>
        <v>0</v>
      </c>
      <c r="F20" s="599">
        <f t="shared" si="1"/>
        <v>0</v>
      </c>
      <c r="G20" s="582"/>
      <c r="H20" s="582"/>
      <c r="I20" s="584">
        <f t="shared" si="2"/>
        <v>0</v>
      </c>
      <c r="J20" s="584">
        <f t="shared" si="3"/>
        <v>0</v>
      </c>
      <c r="K20" s="584">
        <f t="shared" si="4"/>
        <v>0</v>
      </c>
      <c r="L20" s="582"/>
      <c r="M20" s="582"/>
      <c r="N20" s="582"/>
      <c r="O20" s="585">
        <v>117.5</v>
      </c>
      <c r="P20" s="584">
        <f t="shared" si="5"/>
        <v>0</v>
      </c>
    </row>
    <row r="21" spans="1:16" s="586" customFormat="1" ht="15.75" x14ac:dyDescent="0.25">
      <c r="A21" s="581">
        <v>11</v>
      </c>
      <c r="B21" s="582" t="s">
        <v>906</v>
      </c>
      <c r="C21" s="607">
        <v>861</v>
      </c>
      <c r="D21" s="582">
        <v>310</v>
      </c>
      <c r="E21" s="599">
        <f t="shared" si="0"/>
        <v>40.036499999999997</v>
      </c>
      <c r="F21" s="599">
        <f t="shared" si="1"/>
        <v>40.036499999999997</v>
      </c>
      <c r="G21" s="582"/>
      <c r="H21" s="582"/>
      <c r="I21" s="584">
        <f t="shared" si="2"/>
        <v>8.0073000000000008</v>
      </c>
      <c r="J21" s="584">
        <f t="shared" si="3"/>
        <v>4.0036500000000004</v>
      </c>
      <c r="K21" s="584">
        <f t="shared" si="4"/>
        <v>4.0036500000000004</v>
      </c>
      <c r="L21" s="582"/>
      <c r="M21" s="582"/>
      <c r="N21" s="582"/>
      <c r="O21" s="585">
        <v>117.5</v>
      </c>
      <c r="P21" s="584">
        <f t="shared" si="5"/>
        <v>0.47042887499999997</v>
      </c>
    </row>
    <row r="22" spans="1:16" s="586" customFormat="1" ht="15.75" x14ac:dyDescent="0.25">
      <c r="A22" s="581">
        <v>12</v>
      </c>
      <c r="B22" s="582" t="s">
        <v>907</v>
      </c>
      <c r="C22" s="607">
        <v>467</v>
      </c>
      <c r="D22" s="582">
        <v>310</v>
      </c>
      <c r="E22" s="599">
        <f t="shared" si="0"/>
        <v>21.715499999999999</v>
      </c>
      <c r="F22" s="599">
        <f t="shared" si="1"/>
        <v>21.715499999999999</v>
      </c>
      <c r="G22" s="582"/>
      <c r="H22" s="582"/>
      <c r="I22" s="584">
        <f t="shared" si="2"/>
        <v>4.3430999999999997</v>
      </c>
      <c r="J22" s="584">
        <f t="shared" si="3"/>
        <v>2.1715499999999999</v>
      </c>
      <c r="K22" s="584">
        <f t="shared" si="4"/>
        <v>2.1715499999999999</v>
      </c>
      <c r="L22" s="582"/>
      <c r="M22" s="582"/>
      <c r="N22" s="582"/>
      <c r="O22" s="585">
        <v>117.5</v>
      </c>
      <c r="P22" s="584">
        <f t="shared" si="5"/>
        <v>0.25515712499999998</v>
      </c>
    </row>
    <row r="23" spans="1:16" s="586" customFormat="1" ht="15.75" x14ac:dyDescent="0.25">
      <c r="A23" s="581">
        <v>13</v>
      </c>
      <c r="B23" s="582" t="s">
        <v>908</v>
      </c>
      <c r="C23" s="607">
        <v>0</v>
      </c>
      <c r="D23" s="582">
        <v>310</v>
      </c>
      <c r="E23" s="599">
        <f t="shared" si="0"/>
        <v>0</v>
      </c>
      <c r="F23" s="599">
        <f t="shared" si="1"/>
        <v>0</v>
      </c>
      <c r="G23" s="582"/>
      <c r="H23" s="582"/>
      <c r="I23" s="584">
        <f t="shared" si="2"/>
        <v>0</v>
      </c>
      <c r="J23" s="584">
        <f t="shared" si="3"/>
        <v>0</v>
      </c>
      <c r="K23" s="584">
        <f t="shared" si="4"/>
        <v>0</v>
      </c>
      <c r="L23" s="582"/>
      <c r="M23" s="582"/>
      <c r="N23" s="582"/>
      <c r="O23" s="585">
        <v>117.5</v>
      </c>
      <c r="P23" s="584">
        <f t="shared" si="5"/>
        <v>0</v>
      </c>
    </row>
    <row r="24" spans="1:16" s="586" customFormat="1" ht="15.75" x14ac:dyDescent="0.25">
      <c r="A24" s="581">
        <v>14</v>
      </c>
      <c r="B24" s="582" t="s">
        <v>909</v>
      </c>
      <c r="C24" s="607">
        <v>0</v>
      </c>
      <c r="D24" s="582">
        <v>310</v>
      </c>
      <c r="E24" s="599">
        <f t="shared" si="0"/>
        <v>0</v>
      </c>
      <c r="F24" s="599">
        <f t="shared" si="1"/>
        <v>0</v>
      </c>
      <c r="G24" s="582"/>
      <c r="H24" s="582"/>
      <c r="I24" s="584">
        <f t="shared" si="2"/>
        <v>0</v>
      </c>
      <c r="J24" s="584">
        <f t="shared" si="3"/>
        <v>0</v>
      </c>
      <c r="K24" s="584">
        <f t="shared" si="4"/>
        <v>0</v>
      </c>
      <c r="L24" s="582"/>
      <c r="M24" s="582"/>
      <c r="N24" s="582"/>
      <c r="O24" s="585">
        <v>117.5</v>
      </c>
      <c r="P24" s="584">
        <f t="shared" si="5"/>
        <v>0</v>
      </c>
    </row>
    <row r="25" spans="1:16" s="586" customFormat="1" ht="15.75" x14ac:dyDescent="0.25">
      <c r="A25" s="581">
        <v>15</v>
      </c>
      <c r="B25" s="582" t="s">
        <v>910</v>
      </c>
      <c r="C25" s="607">
        <v>0</v>
      </c>
      <c r="D25" s="582">
        <v>310</v>
      </c>
      <c r="E25" s="599">
        <f t="shared" si="0"/>
        <v>0</v>
      </c>
      <c r="F25" s="599">
        <f t="shared" si="1"/>
        <v>0</v>
      </c>
      <c r="G25" s="582"/>
      <c r="H25" s="582"/>
      <c r="I25" s="584">
        <f t="shared" si="2"/>
        <v>0</v>
      </c>
      <c r="J25" s="584">
        <f t="shared" si="3"/>
        <v>0</v>
      </c>
      <c r="K25" s="584">
        <f t="shared" si="4"/>
        <v>0</v>
      </c>
      <c r="L25" s="582"/>
      <c r="M25" s="582"/>
      <c r="N25" s="582"/>
      <c r="O25" s="585">
        <v>117.5</v>
      </c>
      <c r="P25" s="584">
        <f t="shared" si="5"/>
        <v>0</v>
      </c>
    </row>
    <row r="26" spans="1:16" s="586" customFormat="1" ht="15.75" x14ac:dyDescent="0.25">
      <c r="A26" s="581">
        <v>16</v>
      </c>
      <c r="B26" s="582" t="s">
        <v>911</v>
      </c>
      <c r="C26" s="607">
        <v>0</v>
      </c>
      <c r="D26" s="582">
        <v>310</v>
      </c>
      <c r="E26" s="599">
        <f t="shared" si="0"/>
        <v>0</v>
      </c>
      <c r="F26" s="599">
        <f t="shared" si="1"/>
        <v>0</v>
      </c>
      <c r="G26" s="582"/>
      <c r="H26" s="582"/>
      <c r="I26" s="584">
        <f t="shared" si="2"/>
        <v>0</v>
      </c>
      <c r="J26" s="584">
        <f t="shared" si="3"/>
        <v>0</v>
      </c>
      <c r="K26" s="584">
        <f t="shared" si="4"/>
        <v>0</v>
      </c>
      <c r="L26" s="582"/>
      <c r="M26" s="582"/>
      <c r="N26" s="582"/>
      <c r="O26" s="585">
        <v>117.5</v>
      </c>
      <c r="P26" s="584">
        <f t="shared" si="5"/>
        <v>0</v>
      </c>
    </row>
    <row r="27" spans="1:16" s="586" customFormat="1" ht="16.5" customHeight="1" x14ac:dyDescent="0.25">
      <c r="A27" s="581">
        <v>17</v>
      </c>
      <c r="B27" s="582" t="s">
        <v>912</v>
      </c>
      <c r="C27" s="607">
        <v>0</v>
      </c>
      <c r="D27" s="582">
        <v>310</v>
      </c>
      <c r="E27" s="599">
        <f t="shared" si="0"/>
        <v>0</v>
      </c>
      <c r="F27" s="599">
        <f t="shared" si="1"/>
        <v>0</v>
      </c>
      <c r="G27" s="582"/>
      <c r="H27" s="582"/>
      <c r="I27" s="584">
        <f t="shared" si="2"/>
        <v>0</v>
      </c>
      <c r="J27" s="584">
        <f t="shared" si="3"/>
        <v>0</v>
      </c>
      <c r="K27" s="584">
        <f t="shared" si="4"/>
        <v>0</v>
      </c>
      <c r="L27" s="582"/>
      <c r="M27" s="582"/>
      <c r="N27" s="582"/>
      <c r="O27" s="585">
        <v>117.5</v>
      </c>
      <c r="P27" s="584">
        <f t="shared" si="5"/>
        <v>0</v>
      </c>
    </row>
    <row r="28" spans="1:16" s="586" customFormat="1" ht="15.75" x14ac:dyDescent="0.25">
      <c r="A28" s="581">
        <v>18</v>
      </c>
      <c r="B28" s="582" t="s">
        <v>913</v>
      </c>
      <c r="C28" s="607">
        <v>0</v>
      </c>
      <c r="D28" s="582">
        <v>310</v>
      </c>
      <c r="E28" s="599">
        <f t="shared" si="0"/>
        <v>0</v>
      </c>
      <c r="F28" s="599">
        <f t="shared" si="1"/>
        <v>0</v>
      </c>
      <c r="G28" s="582"/>
      <c r="H28" s="582"/>
      <c r="I28" s="584">
        <f t="shared" si="2"/>
        <v>0</v>
      </c>
      <c r="J28" s="584">
        <f t="shared" si="3"/>
        <v>0</v>
      </c>
      <c r="K28" s="584">
        <f t="shared" si="4"/>
        <v>0</v>
      </c>
      <c r="L28" s="582"/>
      <c r="M28" s="582"/>
      <c r="N28" s="582"/>
      <c r="O28" s="585">
        <v>117.5</v>
      </c>
      <c r="P28" s="584">
        <f t="shared" si="5"/>
        <v>0</v>
      </c>
    </row>
    <row r="29" spans="1:16" s="586" customFormat="1" ht="15.75" x14ac:dyDescent="0.25">
      <c r="A29" s="581">
        <v>19</v>
      </c>
      <c r="B29" s="582" t="s">
        <v>914</v>
      </c>
      <c r="C29" s="607">
        <v>1165</v>
      </c>
      <c r="D29" s="582">
        <v>310</v>
      </c>
      <c r="E29" s="599">
        <f t="shared" si="0"/>
        <v>54.172499999999992</v>
      </c>
      <c r="F29" s="599">
        <f t="shared" si="1"/>
        <v>54.172499999999992</v>
      </c>
      <c r="G29" s="582"/>
      <c r="H29" s="582"/>
      <c r="I29" s="584">
        <f t="shared" si="2"/>
        <v>10.8345</v>
      </c>
      <c r="J29" s="584">
        <f t="shared" si="3"/>
        <v>5.4172500000000001</v>
      </c>
      <c r="K29" s="584">
        <f t="shared" si="4"/>
        <v>5.4172500000000001</v>
      </c>
      <c r="L29" s="582"/>
      <c r="M29" s="582"/>
      <c r="N29" s="582"/>
      <c r="O29" s="585">
        <v>117.5</v>
      </c>
      <c r="P29" s="584">
        <f t="shared" si="5"/>
        <v>0.63652687499999994</v>
      </c>
    </row>
    <row r="30" spans="1:16" s="586" customFormat="1" ht="15.75" x14ac:dyDescent="0.25">
      <c r="A30" s="581">
        <v>20</v>
      </c>
      <c r="B30" s="582" t="s">
        <v>915</v>
      </c>
      <c r="C30" s="607">
        <v>0</v>
      </c>
      <c r="D30" s="582">
        <v>310</v>
      </c>
      <c r="E30" s="599">
        <f t="shared" si="0"/>
        <v>0</v>
      </c>
      <c r="F30" s="599">
        <f t="shared" si="1"/>
        <v>0</v>
      </c>
      <c r="G30" s="582"/>
      <c r="H30" s="582"/>
      <c r="I30" s="584">
        <f t="shared" si="2"/>
        <v>0</v>
      </c>
      <c r="J30" s="584">
        <f t="shared" si="3"/>
        <v>0</v>
      </c>
      <c r="K30" s="584">
        <f t="shared" si="4"/>
        <v>0</v>
      </c>
      <c r="L30" s="582"/>
      <c r="M30" s="582"/>
      <c r="N30" s="582"/>
      <c r="O30" s="585">
        <v>117.5</v>
      </c>
      <c r="P30" s="584">
        <f t="shared" si="5"/>
        <v>0</v>
      </c>
    </row>
    <row r="31" spans="1:16" s="586" customFormat="1" ht="15.75" x14ac:dyDescent="0.25">
      <c r="A31" s="581">
        <v>21</v>
      </c>
      <c r="B31" s="582" t="s">
        <v>916</v>
      </c>
      <c r="C31" s="607">
        <v>0</v>
      </c>
      <c r="D31" s="582">
        <v>310</v>
      </c>
      <c r="E31" s="599">
        <f t="shared" si="0"/>
        <v>0</v>
      </c>
      <c r="F31" s="599">
        <f t="shared" si="1"/>
        <v>0</v>
      </c>
      <c r="G31" s="582"/>
      <c r="H31" s="582"/>
      <c r="I31" s="584">
        <f t="shared" si="2"/>
        <v>0</v>
      </c>
      <c r="J31" s="584">
        <f t="shared" si="3"/>
        <v>0</v>
      </c>
      <c r="K31" s="584">
        <f t="shared" si="4"/>
        <v>0</v>
      </c>
      <c r="L31" s="582"/>
      <c r="M31" s="582"/>
      <c r="N31" s="582"/>
      <c r="O31" s="585">
        <v>117.5</v>
      </c>
      <c r="P31" s="584">
        <f t="shared" si="5"/>
        <v>0</v>
      </c>
    </row>
    <row r="32" spans="1:16" s="586" customFormat="1" ht="15.75" x14ac:dyDescent="0.25">
      <c r="A32" s="581">
        <v>22</v>
      </c>
      <c r="B32" s="582" t="s">
        <v>917</v>
      </c>
      <c r="C32" s="607">
        <v>0</v>
      </c>
      <c r="D32" s="582">
        <v>310</v>
      </c>
      <c r="E32" s="599">
        <f t="shared" si="0"/>
        <v>0</v>
      </c>
      <c r="F32" s="599">
        <f t="shared" si="1"/>
        <v>0</v>
      </c>
      <c r="G32" s="582"/>
      <c r="H32" s="582"/>
      <c r="I32" s="584">
        <f t="shared" si="2"/>
        <v>0</v>
      </c>
      <c r="J32" s="584">
        <f t="shared" si="3"/>
        <v>0</v>
      </c>
      <c r="K32" s="584">
        <f t="shared" si="4"/>
        <v>0</v>
      </c>
      <c r="L32" s="582"/>
      <c r="M32" s="582"/>
      <c r="N32" s="582"/>
      <c r="O32" s="585">
        <v>117.5</v>
      </c>
      <c r="P32" s="584">
        <f t="shared" si="5"/>
        <v>0</v>
      </c>
    </row>
    <row r="33" spans="1:20" s="586" customFormat="1" ht="15.75" x14ac:dyDescent="0.25">
      <c r="A33" s="581">
        <v>23</v>
      </c>
      <c r="B33" s="582" t="s">
        <v>918</v>
      </c>
      <c r="C33" s="607">
        <v>0</v>
      </c>
      <c r="D33" s="582">
        <v>310</v>
      </c>
      <c r="E33" s="599">
        <f t="shared" si="0"/>
        <v>0</v>
      </c>
      <c r="F33" s="599">
        <f t="shared" si="1"/>
        <v>0</v>
      </c>
      <c r="G33" s="582"/>
      <c r="H33" s="582"/>
      <c r="I33" s="584">
        <f t="shared" si="2"/>
        <v>0</v>
      </c>
      <c r="J33" s="584">
        <f t="shared" si="3"/>
        <v>0</v>
      </c>
      <c r="K33" s="584">
        <f t="shared" si="4"/>
        <v>0</v>
      </c>
      <c r="L33" s="582"/>
      <c r="M33" s="582"/>
      <c r="N33" s="582"/>
      <c r="O33" s="585">
        <v>117.5</v>
      </c>
      <c r="P33" s="584">
        <f t="shared" si="5"/>
        <v>0</v>
      </c>
    </row>
    <row r="34" spans="1:20" s="586" customFormat="1" ht="15.75" x14ac:dyDescent="0.25">
      <c r="A34" s="581">
        <v>24</v>
      </c>
      <c r="B34" s="582" t="s">
        <v>919</v>
      </c>
      <c r="C34" s="607">
        <v>0</v>
      </c>
      <c r="D34" s="582">
        <v>310</v>
      </c>
      <c r="E34" s="599">
        <f t="shared" si="0"/>
        <v>0</v>
      </c>
      <c r="F34" s="599">
        <f t="shared" si="1"/>
        <v>0</v>
      </c>
      <c r="G34" s="582"/>
      <c r="H34" s="582"/>
      <c r="I34" s="584">
        <f t="shared" si="2"/>
        <v>0</v>
      </c>
      <c r="J34" s="584">
        <f t="shared" si="3"/>
        <v>0</v>
      </c>
      <c r="K34" s="584">
        <f t="shared" si="4"/>
        <v>0</v>
      </c>
      <c r="L34" s="582"/>
      <c r="M34" s="582"/>
      <c r="N34" s="582"/>
      <c r="O34" s="585">
        <v>117.5</v>
      </c>
      <c r="P34" s="584">
        <f t="shared" si="5"/>
        <v>0</v>
      </c>
    </row>
    <row r="35" spans="1:20" s="589" customFormat="1" ht="15.75" x14ac:dyDescent="0.25">
      <c r="A35" s="1111" t="s">
        <v>18</v>
      </c>
      <c r="B35" s="1111"/>
      <c r="C35" s="608">
        <f>SUM(C11:C34)</f>
        <v>3465</v>
      </c>
      <c r="D35" s="609"/>
      <c r="E35" s="600">
        <f>SUM(E11:E34)</f>
        <v>161.12249999999997</v>
      </c>
      <c r="F35" s="600">
        <f>SUM(F11:F34)</f>
        <v>161.12249999999997</v>
      </c>
      <c r="G35" s="609"/>
      <c r="H35" s="609"/>
      <c r="I35" s="588">
        <f>SUM(I11:I34)</f>
        <v>32.224499999999999</v>
      </c>
      <c r="J35" s="588">
        <f>SUM(J11:J34)</f>
        <v>16.11225</v>
      </c>
      <c r="K35" s="588">
        <f>SUM(K11:K34)</f>
        <v>16.11225</v>
      </c>
      <c r="L35" s="609"/>
      <c r="M35" s="609"/>
      <c r="N35" s="609"/>
      <c r="O35" s="609"/>
      <c r="P35" s="588">
        <f>SUM(P11:P34)</f>
        <v>1.8931893749999997</v>
      </c>
    </row>
    <row r="36" spans="1:20" s="586" customFormat="1" ht="18" x14ac:dyDescent="0.25">
      <c r="A36" s="590"/>
      <c r="B36" s="591"/>
      <c r="C36" s="610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611"/>
    </row>
    <row r="37" spans="1:20" s="586" customFormat="1" ht="18" x14ac:dyDescent="0.25">
      <c r="A37" s="681" t="s">
        <v>147</v>
      </c>
      <c r="B37" s="591"/>
      <c r="C37" s="610"/>
      <c r="D37" s="592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</row>
    <row r="38" spans="1:20" s="586" customFormat="1" ht="18" x14ac:dyDescent="0.25">
      <c r="A38" s="590"/>
      <c r="B38" s="591"/>
      <c r="C38" s="610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</row>
    <row r="39" spans="1:20" s="586" customFormat="1" ht="18" x14ac:dyDescent="0.25">
      <c r="A39" s="590"/>
      <c r="B39" s="591"/>
      <c r="C39" s="610"/>
      <c r="D39" s="593"/>
      <c r="E39" s="593"/>
      <c r="F39" s="593"/>
      <c r="G39" s="593"/>
      <c r="H39" s="593"/>
      <c r="I39" s="593"/>
      <c r="J39" s="593"/>
      <c r="K39" s="593"/>
      <c r="L39" s="682"/>
      <c r="M39" s="682" t="s">
        <v>12</v>
      </c>
      <c r="N39" s="593"/>
      <c r="O39" s="593"/>
      <c r="P39" s="593"/>
    </row>
    <row r="40" spans="1:20" ht="12.75" customHeight="1" x14ac:dyDescent="0.2">
      <c r="E40" s="580"/>
      <c r="F40" s="1131" t="s">
        <v>13</v>
      </c>
      <c r="G40" s="1131"/>
      <c r="H40" s="1131"/>
      <c r="I40" s="1131"/>
      <c r="J40" s="1131"/>
      <c r="K40" s="1131"/>
      <c r="L40" s="1131"/>
      <c r="M40" s="1131"/>
      <c r="N40" s="1131"/>
      <c r="Q40" s="586"/>
      <c r="R40" s="586"/>
      <c r="S40" s="586"/>
      <c r="T40" s="586"/>
    </row>
    <row r="41" spans="1:20" ht="12.75" customHeight="1" x14ac:dyDescent="0.2">
      <c r="E41" s="680"/>
      <c r="F41" s="680"/>
      <c r="G41" s="680"/>
      <c r="H41" s="680"/>
      <c r="I41" s="680"/>
      <c r="J41" s="680"/>
      <c r="K41" s="680"/>
      <c r="L41" s="680" t="s">
        <v>87</v>
      </c>
      <c r="M41" s="680"/>
      <c r="N41" s="680"/>
      <c r="Q41" s="586"/>
      <c r="R41" s="586"/>
      <c r="S41" s="586"/>
      <c r="T41" s="586"/>
    </row>
    <row r="42" spans="1:20" ht="14.25" x14ac:dyDescent="0.2">
      <c r="A42" s="580"/>
      <c r="B42" s="580"/>
      <c r="F42" s="580"/>
      <c r="G42" s="580"/>
      <c r="H42" s="580"/>
      <c r="I42" s="580"/>
      <c r="J42" s="580"/>
      <c r="K42" s="580"/>
      <c r="L42" s="580" t="s">
        <v>703</v>
      </c>
      <c r="M42" s="580"/>
      <c r="N42" s="580"/>
      <c r="Q42" s="586"/>
      <c r="R42" s="586"/>
      <c r="S42" s="586"/>
      <c r="T42" s="586"/>
    </row>
    <row r="43" spans="1:20" ht="14.25" x14ac:dyDescent="0.2">
      <c r="Q43" s="586"/>
      <c r="R43" s="586"/>
      <c r="S43" s="586"/>
      <c r="T43" s="586"/>
    </row>
    <row r="44" spans="1:20" x14ac:dyDescent="0.2">
      <c r="A44" s="1122"/>
      <c r="B44" s="1122"/>
      <c r="C44" s="1122"/>
      <c r="D44" s="1122"/>
      <c r="E44" s="1122"/>
      <c r="F44" s="1122"/>
      <c r="G44" s="1122"/>
      <c r="H44" s="1122"/>
      <c r="I44" s="1122"/>
      <c r="J44" s="1122"/>
      <c r="K44" s="1122"/>
      <c r="L44" s="1122"/>
      <c r="M44" s="1122"/>
      <c r="N44" s="1122"/>
    </row>
  </sheetData>
  <mergeCells count="19">
    <mergeCell ref="O1:P1"/>
    <mergeCell ref="A6:N6"/>
    <mergeCell ref="D1:E1"/>
    <mergeCell ref="M1:N1"/>
    <mergeCell ref="A2:N2"/>
    <mergeCell ref="A3:N3"/>
    <mergeCell ref="A4:N5"/>
    <mergeCell ref="O8:P8"/>
    <mergeCell ref="A35:B35"/>
    <mergeCell ref="F40:N40"/>
    <mergeCell ref="A44:N44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16" top="0.23622047244094491" bottom="0" header="0.31496062992125984" footer="0.31496062992125984"/>
  <pageSetup paperSize="9" scale="6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P43"/>
  <sheetViews>
    <sheetView topLeftCell="A7" zoomScale="70" zoomScaleNormal="70" zoomScaleSheetLayoutView="100" workbookViewId="0">
      <selection activeCell="C11" sqref="C11:P34"/>
    </sheetView>
  </sheetViews>
  <sheetFormatPr defaultColWidth="9.140625" defaultRowHeight="12.75" x14ac:dyDescent="0.2"/>
  <cols>
    <col min="1" max="1" width="5.5703125" style="333" customWidth="1"/>
    <col min="2" max="2" width="20.28515625" style="333" customWidth="1"/>
    <col min="3" max="3" width="12.140625" style="333" bestFit="1" customWidth="1"/>
    <col min="4" max="4" width="12.85546875" style="333" customWidth="1"/>
    <col min="5" max="16" width="13.85546875" style="333" customWidth="1"/>
    <col min="17" max="16384" width="9.140625" style="333"/>
  </cols>
  <sheetData>
    <row r="1" spans="1:16" ht="12.75" customHeight="1" x14ac:dyDescent="0.2">
      <c r="D1" s="1154"/>
      <c r="E1" s="1154"/>
      <c r="M1" s="1134"/>
      <c r="N1" s="1134"/>
      <c r="O1" s="1134" t="s">
        <v>652</v>
      </c>
      <c r="P1" s="1134"/>
    </row>
    <row r="2" spans="1:16" ht="15.75" x14ac:dyDescent="0.25">
      <c r="A2" s="1155" t="s">
        <v>0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</row>
    <row r="3" spans="1:16" ht="18" x14ac:dyDescent="0.25">
      <c r="A3" s="1156" t="s">
        <v>740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</row>
    <row r="4" spans="1:16" ht="9.75" customHeight="1" x14ac:dyDescent="0.2">
      <c r="A4" s="1157" t="s">
        <v>751</v>
      </c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</row>
    <row r="5" spans="1:16" s="334" customFormat="1" ht="18.75" customHeight="1" x14ac:dyDescent="0.2">
      <c r="A5" s="1157"/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</row>
    <row r="6" spans="1:16" x14ac:dyDescent="0.2">
      <c r="A6" s="1153"/>
      <c r="B6" s="1153"/>
      <c r="C6" s="1153"/>
      <c r="D6" s="1153"/>
      <c r="E6" s="1153"/>
      <c r="F6" s="1153"/>
      <c r="G6" s="1153"/>
      <c r="H6" s="1153"/>
      <c r="I6" s="1153"/>
      <c r="J6" s="1153"/>
      <c r="K6" s="1153"/>
      <c r="L6" s="1153"/>
      <c r="M6" s="1153"/>
      <c r="N6" s="1153"/>
    </row>
    <row r="7" spans="1:16" ht="15.75" x14ac:dyDescent="0.25">
      <c r="A7" s="1138" t="s">
        <v>920</v>
      </c>
      <c r="B7" s="1138"/>
      <c r="D7" s="335"/>
      <c r="H7" s="1139"/>
      <c r="I7" s="1139"/>
      <c r="J7" s="1139"/>
      <c r="K7" s="1139"/>
      <c r="L7" s="1139"/>
      <c r="M7" s="1139"/>
      <c r="N7" s="1139"/>
    </row>
    <row r="8" spans="1:16" ht="59.25" customHeight="1" x14ac:dyDescent="0.2">
      <c r="A8" s="964" t="s">
        <v>2</v>
      </c>
      <c r="B8" s="964" t="s">
        <v>3</v>
      </c>
      <c r="C8" s="1136" t="s">
        <v>483</v>
      </c>
      <c r="D8" s="1140" t="s">
        <v>85</v>
      </c>
      <c r="E8" s="1142" t="s">
        <v>86</v>
      </c>
      <c r="F8" s="1047"/>
      <c r="G8" s="1047"/>
      <c r="H8" s="1048"/>
      <c r="I8" s="964" t="s">
        <v>646</v>
      </c>
      <c r="J8" s="964"/>
      <c r="K8" s="964"/>
      <c r="L8" s="964"/>
      <c r="M8" s="964"/>
      <c r="N8" s="964"/>
      <c r="O8" s="1152" t="s">
        <v>702</v>
      </c>
      <c r="P8" s="1152"/>
    </row>
    <row r="9" spans="1:16" ht="44.45" customHeight="1" x14ac:dyDescent="0.2">
      <c r="A9" s="964"/>
      <c r="B9" s="964"/>
      <c r="C9" s="1137"/>
      <c r="D9" s="1141"/>
      <c r="E9" s="24" t="s">
        <v>91</v>
      </c>
      <c r="F9" s="24" t="s">
        <v>21</v>
      </c>
      <c r="G9" s="24" t="s">
        <v>42</v>
      </c>
      <c r="H9" s="24" t="s">
        <v>681</v>
      </c>
      <c r="I9" s="24" t="s">
        <v>18</v>
      </c>
      <c r="J9" s="24" t="s">
        <v>647</v>
      </c>
      <c r="K9" s="24" t="s">
        <v>648</v>
      </c>
      <c r="L9" s="24" t="s">
        <v>649</v>
      </c>
      <c r="M9" s="24" t="s">
        <v>650</v>
      </c>
      <c r="N9" s="24" t="s">
        <v>651</v>
      </c>
      <c r="O9" s="24" t="s">
        <v>708</v>
      </c>
      <c r="P9" s="24" t="s">
        <v>706</v>
      </c>
    </row>
    <row r="10" spans="1:16" s="341" customFormat="1" x14ac:dyDescent="0.2">
      <c r="A10" s="336">
        <v>1</v>
      </c>
      <c r="B10" s="336">
        <v>2</v>
      </c>
      <c r="C10" s="336">
        <v>3</v>
      </c>
      <c r="D10" s="336">
        <v>8</v>
      </c>
      <c r="E10" s="336">
        <v>9</v>
      </c>
      <c r="F10" s="336">
        <v>10</v>
      </c>
      <c r="G10" s="336">
        <v>11</v>
      </c>
      <c r="H10" s="336">
        <v>12</v>
      </c>
      <c r="I10" s="336">
        <v>9</v>
      </c>
      <c r="J10" s="336">
        <v>10</v>
      </c>
      <c r="K10" s="336">
        <v>11</v>
      </c>
      <c r="L10" s="336">
        <v>12</v>
      </c>
      <c r="M10" s="336">
        <v>13</v>
      </c>
      <c r="N10" s="336">
        <v>14</v>
      </c>
      <c r="O10" s="336">
        <v>15</v>
      </c>
      <c r="P10" s="336">
        <v>16</v>
      </c>
    </row>
    <row r="11" spans="1:16" s="340" customFormat="1" ht="15" x14ac:dyDescent="0.2">
      <c r="A11" s="342">
        <v>1</v>
      </c>
      <c r="B11" s="343" t="s">
        <v>896</v>
      </c>
      <c r="C11" s="1143" t="s">
        <v>946</v>
      </c>
      <c r="D11" s="1144"/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  <c r="O11" s="1144"/>
      <c r="P11" s="1145"/>
    </row>
    <row r="12" spans="1:16" s="340" customFormat="1" ht="15" x14ac:dyDescent="0.2">
      <c r="A12" s="342">
        <v>2</v>
      </c>
      <c r="B12" s="343" t="s">
        <v>897</v>
      </c>
      <c r="C12" s="1146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8"/>
    </row>
    <row r="13" spans="1:16" s="340" customFormat="1" ht="15" x14ac:dyDescent="0.2">
      <c r="A13" s="342">
        <v>3</v>
      </c>
      <c r="B13" s="343" t="s">
        <v>898</v>
      </c>
      <c r="C13" s="1146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8"/>
    </row>
    <row r="14" spans="1:16" s="340" customFormat="1" ht="15" x14ac:dyDescent="0.2">
      <c r="A14" s="342">
        <v>4</v>
      </c>
      <c r="B14" s="343" t="s">
        <v>899</v>
      </c>
      <c r="C14" s="1146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8"/>
    </row>
    <row r="15" spans="1:16" s="340" customFormat="1" ht="15" x14ac:dyDescent="0.2">
      <c r="A15" s="342">
        <v>5</v>
      </c>
      <c r="B15" s="343" t="s">
        <v>900</v>
      </c>
      <c r="C15" s="1146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8"/>
    </row>
    <row r="16" spans="1:16" s="340" customFormat="1" ht="15" x14ac:dyDescent="0.2">
      <c r="A16" s="342">
        <v>6</v>
      </c>
      <c r="B16" s="343" t="s">
        <v>901</v>
      </c>
      <c r="C16" s="1146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8"/>
    </row>
    <row r="17" spans="1:16" s="340" customFormat="1" ht="15" x14ac:dyDescent="0.2">
      <c r="A17" s="342">
        <v>7</v>
      </c>
      <c r="B17" s="343" t="s">
        <v>902</v>
      </c>
      <c r="C17" s="1146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8"/>
    </row>
    <row r="18" spans="1:16" s="340" customFormat="1" ht="15" x14ac:dyDescent="0.2">
      <c r="A18" s="342">
        <v>8</v>
      </c>
      <c r="B18" s="343" t="s">
        <v>903</v>
      </c>
      <c r="C18" s="1146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8"/>
    </row>
    <row r="19" spans="1:16" s="340" customFormat="1" ht="15" x14ac:dyDescent="0.2">
      <c r="A19" s="342">
        <v>9</v>
      </c>
      <c r="B19" s="343" t="s">
        <v>904</v>
      </c>
      <c r="C19" s="1146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8"/>
    </row>
    <row r="20" spans="1:16" s="340" customFormat="1" ht="15" x14ac:dyDescent="0.2">
      <c r="A20" s="342">
        <v>10</v>
      </c>
      <c r="B20" s="343" t="s">
        <v>905</v>
      </c>
      <c r="C20" s="1146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8"/>
    </row>
    <row r="21" spans="1:16" s="340" customFormat="1" ht="15" x14ac:dyDescent="0.2">
      <c r="A21" s="342">
        <v>11</v>
      </c>
      <c r="B21" s="343" t="s">
        <v>906</v>
      </c>
      <c r="C21" s="1146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8"/>
    </row>
    <row r="22" spans="1:16" s="340" customFormat="1" ht="15" x14ac:dyDescent="0.2">
      <c r="A22" s="342">
        <v>12</v>
      </c>
      <c r="B22" s="343" t="s">
        <v>907</v>
      </c>
      <c r="C22" s="1146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8"/>
    </row>
    <row r="23" spans="1:16" s="340" customFormat="1" ht="15" x14ac:dyDescent="0.2">
      <c r="A23" s="342">
        <v>13</v>
      </c>
      <c r="B23" s="343" t="s">
        <v>908</v>
      </c>
      <c r="C23" s="1146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8"/>
    </row>
    <row r="24" spans="1:16" s="340" customFormat="1" ht="15" x14ac:dyDescent="0.2">
      <c r="A24" s="342">
        <v>14</v>
      </c>
      <c r="B24" s="343" t="s">
        <v>909</v>
      </c>
      <c r="C24" s="1146"/>
      <c r="D24" s="1147"/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8"/>
    </row>
    <row r="25" spans="1:16" s="340" customFormat="1" ht="15" x14ac:dyDescent="0.2">
      <c r="A25" s="342">
        <v>15</v>
      </c>
      <c r="B25" s="343" t="s">
        <v>910</v>
      </c>
      <c r="C25" s="1146"/>
      <c r="D25" s="1147"/>
      <c r="E25" s="1147"/>
      <c r="F25" s="1147"/>
      <c r="G25" s="1147"/>
      <c r="H25" s="1147"/>
      <c r="I25" s="1147"/>
      <c r="J25" s="1147"/>
      <c r="K25" s="1147"/>
      <c r="L25" s="1147"/>
      <c r="M25" s="1147"/>
      <c r="N25" s="1147"/>
      <c r="O25" s="1147"/>
      <c r="P25" s="1148"/>
    </row>
    <row r="26" spans="1:16" s="340" customFormat="1" ht="15" x14ac:dyDescent="0.2">
      <c r="A26" s="342">
        <v>16</v>
      </c>
      <c r="B26" s="343" t="s">
        <v>911</v>
      </c>
      <c r="C26" s="1146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8"/>
    </row>
    <row r="27" spans="1:16" s="340" customFormat="1" ht="16.5" customHeight="1" x14ac:dyDescent="0.2">
      <c r="A27" s="342">
        <v>17</v>
      </c>
      <c r="B27" s="343" t="s">
        <v>912</v>
      </c>
      <c r="C27" s="1146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8"/>
    </row>
    <row r="28" spans="1:16" s="340" customFormat="1" ht="15" x14ac:dyDescent="0.2">
      <c r="A28" s="342">
        <v>18</v>
      </c>
      <c r="B28" s="343" t="s">
        <v>913</v>
      </c>
      <c r="C28" s="1146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8"/>
    </row>
    <row r="29" spans="1:16" s="340" customFormat="1" ht="15" x14ac:dyDescent="0.2">
      <c r="A29" s="342">
        <v>19</v>
      </c>
      <c r="B29" s="343" t="s">
        <v>914</v>
      </c>
      <c r="C29" s="1146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8"/>
    </row>
    <row r="30" spans="1:16" s="340" customFormat="1" ht="15" x14ac:dyDescent="0.2">
      <c r="A30" s="342">
        <v>20</v>
      </c>
      <c r="B30" s="343" t="s">
        <v>915</v>
      </c>
      <c r="C30" s="1146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8"/>
    </row>
    <row r="31" spans="1:16" s="340" customFormat="1" ht="15" x14ac:dyDescent="0.2">
      <c r="A31" s="342">
        <v>21</v>
      </c>
      <c r="B31" s="343" t="s">
        <v>916</v>
      </c>
      <c r="C31" s="1146"/>
      <c r="D31" s="1147"/>
      <c r="E31" s="1147"/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8"/>
    </row>
    <row r="32" spans="1:16" s="340" customFormat="1" ht="15" x14ac:dyDescent="0.2">
      <c r="A32" s="342">
        <v>22</v>
      </c>
      <c r="B32" s="343" t="s">
        <v>917</v>
      </c>
      <c r="C32" s="1146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8"/>
    </row>
    <row r="33" spans="1:16" s="340" customFormat="1" ht="15" x14ac:dyDescent="0.2">
      <c r="A33" s="342">
        <v>23</v>
      </c>
      <c r="B33" s="343" t="s">
        <v>918</v>
      </c>
      <c r="C33" s="1146"/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8"/>
    </row>
    <row r="34" spans="1:16" s="340" customFormat="1" ht="15" x14ac:dyDescent="0.2">
      <c r="A34" s="342">
        <v>24</v>
      </c>
      <c r="B34" s="343" t="s">
        <v>919</v>
      </c>
      <c r="C34" s="1149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1"/>
    </row>
    <row r="35" spans="1:16" s="340" customFormat="1" ht="27.75" x14ac:dyDescent="0.2">
      <c r="A35" s="683"/>
      <c r="B35" s="684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</row>
    <row r="36" spans="1:16" ht="12.75" customHeight="1" x14ac:dyDescent="0.2">
      <c r="E36" s="337"/>
      <c r="F36" s="1135"/>
      <c r="G36" s="1135"/>
      <c r="H36" s="1135"/>
      <c r="I36" s="1135"/>
      <c r="J36" s="1135"/>
      <c r="K36" s="1135"/>
      <c r="L36" s="1135"/>
      <c r="M36" s="1135"/>
      <c r="N36" s="1135"/>
    </row>
    <row r="37" spans="1:16" ht="12.75" customHeight="1" x14ac:dyDescent="0.25">
      <c r="A37" s="681" t="s">
        <v>147</v>
      </c>
      <c r="B37" s="591"/>
      <c r="C37" s="610"/>
      <c r="D37" s="592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</row>
    <row r="38" spans="1:16" ht="18" x14ac:dyDescent="0.25">
      <c r="A38" s="590"/>
      <c r="B38" s="591"/>
      <c r="C38" s="610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</row>
    <row r="39" spans="1:16" ht="18" x14ac:dyDescent="0.25">
      <c r="A39" s="590"/>
      <c r="B39" s="591"/>
      <c r="C39" s="610"/>
      <c r="D39" s="593"/>
      <c r="E39" s="593"/>
      <c r="F39" s="593"/>
      <c r="G39" s="593"/>
      <c r="H39" s="593"/>
      <c r="I39" s="593"/>
      <c r="J39" s="593"/>
      <c r="K39" s="593"/>
      <c r="L39" s="682"/>
      <c r="M39" s="682" t="s">
        <v>12</v>
      </c>
      <c r="N39" s="593"/>
      <c r="O39" s="593"/>
    </row>
    <row r="40" spans="1:16" x14ac:dyDescent="0.2">
      <c r="A40" s="574"/>
      <c r="B40" s="574"/>
      <c r="C40" s="574"/>
      <c r="D40" s="574"/>
      <c r="E40" s="580"/>
      <c r="F40" s="1131" t="s">
        <v>13</v>
      </c>
      <c r="G40" s="1131"/>
      <c r="H40" s="1131"/>
      <c r="I40" s="1131"/>
      <c r="J40" s="1131"/>
      <c r="K40" s="1131"/>
      <c r="L40" s="1131"/>
      <c r="M40" s="1131"/>
      <c r="N40" s="1131"/>
      <c r="O40" s="574"/>
    </row>
    <row r="41" spans="1:16" x14ac:dyDescent="0.2">
      <c r="A41" s="574"/>
      <c r="B41" s="574"/>
      <c r="C41" s="574"/>
      <c r="D41" s="574"/>
      <c r="E41" s="680"/>
      <c r="F41" s="680"/>
      <c r="G41" s="680"/>
      <c r="H41" s="680"/>
      <c r="I41" s="680"/>
      <c r="J41" s="680"/>
      <c r="K41" s="680"/>
      <c r="L41" s="680" t="s">
        <v>87</v>
      </c>
      <c r="M41" s="680"/>
      <c r="N41" s="680"/>
      <c r="O41" s="574"/>
    </row>
    <row r="42" spans="1:16" x14ac:dyDescent="0.2">
      <c r="A42" s="580"/>
      <c r="B42" s="580"/>
      <c r="C42" s="574"/>
      <c r="D42" s="574"/>
      <c r="E42" s="574"/>
      <c r="F42" s="580"/>
      <c r="G42" s="580"/>
      <c r="H42" s="580"/>
      <c r="I42" s="580"/>
      <c r="J42" s="580"/>
      <c r="K42" s="580"/>
      <c r="L42" s="580" t="s">
        <v>703</v>
      </c>
      <c r="M42" s="580"/>
      <c r="N42" s="580"/>
      <c r="O42" s="574"/>
    </row>
    <row r="43" spans="1:16" x14ac:dyDescent="0.2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</row>
  </sheetData>
  <mergeCells count="19">
    <mergeCell ref="A2:N2"/>
    <mergeCell ref="A3:N3"/>
    <mergeCell ref="A4:N5"/>
    <mergeCell ref="O1:P1"/>
    <mergeCell ref="F40:N40"/>
    <mergeCell ref="F36:N36"/>
    <mergeCell ref="C8:C9"/>
    <mergeCell ref="A7:B7"/>
    <mergeCell ref="H7:N7"/>
    <mergeCell ref="A8:A9"/>
    <mergeCell ref="B8:B9"/>
    <mergeCell ref="D8:D9"/>
    <mergeCell ref="E8:H8"/>
    <mergeCell ref="C11:P34"/>
    <mergeCell ref="O8:P8"/>
    <mergeCell ref="I8:N8"/>
    <mergeCell ref="A6:N6"/>
    <mergeCell ref="D1:E1"/>
    <mergeCell ref="M1:N1"/>
  </mergeCells>
  <printOptions horizontalCentered="1"/>
  <pageMargins left="0.28999999999999998" right="0.2" top="0.23622047244094491" bottom="0" header="0.23" footer="0.31496062992125984"/>
  <pageSetup paperSize="9" scale="67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P43"/>
  <sheetViews>
    <sheetView topLeftCell="A13" zoomScale="70" zoomScaleNormal="70" zoomScaleSheetLayoutView="100" workbookViewId="0">
      <selection activeCell="C11" sqref="C11:P34"/>
    </sheetView>
  </sheetViews>
  <sheetFormatPr defaultColWidth="9.140625" defaultRowHeight="12.75" x14ac:dyDescent="0.2"/>
  <cols>
    <col min="1" max="1" width="5.5703125" style="333" customWidth="1"/>
    <col min="2" max="2" width="21.5703125" style="333" bestFit="1" customWidth="1"/>
    <col min="3" max="3" width="14.28515625" style="333" customWidth="1"/>
    <col min="4" max="4" width="12.85546875" style="333" customWidth="1"/>
    <col min="5" max="16" width="12.42578125" style="333" customWidth="1"/>
    <col min="17" max="16384" width="9.140625" style="333"/>
  </cols>
  <sheetData>
    <row r="1" spans="1:16" ht="12.75" customHeight="1" x14ac:dyDescent="0.2">
      <c r="D1" s="1154"/>
      <c r="E1" s="1154"/>
      <c r="M1" s="1134" t="s">
        <v>665</v>
      </c>
      <c r="N1" s="1134"/>
      <c r="O1" s="1134"/>
      <c r="P1" s="1134"/>
    </row>
    <row r="2" spans="1:16" ht="15.75" x14ac:dyDescent="0.25">
      <c r="A2" s="1155" t="s">
        <v>0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</row>
    <row r="3" spans="1:16" ht="18" x14ac:dyDescent="0.25">
      <c r="A3" s="1156" t="s">
        <v>740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</row>
    <row r="4" spans="1:16" x14ac:dyDescent="0.2">
      <c r="A4" s="1157" t="s">
        <v>752</v>
      </c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</row>
    <row r="5" spans="1:16" s="334" customFormat="1" ht="18.75" customHeight="1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6" x14ac:dyDescent="0.2">
      <c r="A6" s="1153"/>
      <c r="B6" s="1153"/>
      <c r="C6" s="1153"/>
      <c r="D6" s="1153"/>
      <c r="E6" s="1153"/>
      <c r="F6" s="1153"/>
      <c r="G6" s="1153"/>
      <c r="H6" s="1153"/>
      <c r="I6" s="1153"/>
      <c r="J6" s="1153"/>
      <c r="K6" s="1153"/>
      <c r="L6" s="1153"/>
      <c r="M6" s="1153"/>
      <c r="N6" s="1153"/>
    </row>
    <row r="7" spans="1:16" ht="15.75" x14ac:dyDescent="0.25">
      <c r="A7" s="1138" t="s">
        <v>920</v>
      </c>
      <c r="B7" s="1138"/>
      <c r="D7" s="335"/>
      <c r="H7" s="1139"/>
      <c r="I7" s="1139"/>
      <c r="J7" s="1139"/>
      <c r="K7" s="1139"/>
      <c r="L7" s="1139"/>
      <c r="M7" s="1139"/>
      <c r="N7" s="1139"/>
    </row>
    <row r="8" spans="1:16" ht="24.75" customHeight="1" x14ac:dyDescent="0.2">
      <c r="A8" s="964" t="s">
        <v>2</v>
      </c>
      <c r="B8" s="964" t="s">
        <v>3</v>
      </c>
      <c r="C8" s="1136" t="s">
        <v>483</v>
      </c>
      <c r="D8" s="1140" t="s">
        <v>85</v>
      </c>
      <c r="E8" s="1142" t="s">
        <v>86</v>
      </c>
      <c r="F8" s="1047"/>
      <c r="G8" s="1047"/>
      <c r="H8" s="1048"/>
      <c r="I8" s="964" t="s">
        <v>646</v>
      </c>
      <c r="J8" s="964"/>
      <c r="K8" s="964"/>
      <c r="L8" s="964"/>
      <c r="M8" s="964"/>
      <c r="N8" s="964"/>
      <c r="O8" s="1152" t="s">
        <v>702</v>
      </c>
      <c r="P8" s="1152"/>
    </row>
    <row r="9" spans="1:16" ht="69" customHeight="1" x14ac:dyDescent="0.2">
      <c r="A9" s="964"/>
      <c r="B9" s="964"/>
      <c r="C9" s="1137"/>
      <c r="D9" s="1141"/>
      <c r="E9" s="24" t="s">
        <v>91</v>
      </c>
      <c r="F9" s="24" t="s">
        <v>21</v>
      </c>
      <c r="G9" s="24" t="s">
        <v>42</v>
      </c>
      <c r="H9" s="24" t="s">
        <v>681</v>
      </c>
      <c r="I9" s="24" t="s">
        <v>18</v>
      </c>
      <c r="J9" s="24" t="s">
        <v>647</v>
      </c>
      <c r="K9" s="24" t="s">
        <v>648</v>
      </c>
      <c r="L9" s="24" t="s">
        <v>649</v>
      </c>
      <c r="M9" s="24" t="s">
        <v>650</v>
      </c>
      <c r="N9" s="24" t="s">
        <v>651</v>
      </c>
      <c r="O9" s="24" t="s">
        <v>708</v>
      </c>
      <c r="P9" s="24" t="s">
        <v>706</v>
      </c>
    </row>
    <row r="10" spans="1:16" s="341" customFormat="1" x14ac:dyDescent="0.2">
      <c r="A10" s="336">
        <v>1</v>
      </c>
      <c r="B10" s="336">
        <v>2</v>
      </c>
      <c r="C10" s="336">
        <v>3</v>
      </c>
      <c r="D10" s="336">
        <v>4</v>
      </c>
      <c r="E10" s="336">
        <v>5</v>
      </c>
      <c r="F10" s="336">
        <v>6</v>
      </c>
      <c r="G10" s="336">
        <v>7</v>
      </c>
      <c r="H10" s="336">
        <v>8</v>
      </c>
      <c r="I10" s="336">
        <v>9</v>
      </c>
      <c r="J10" s="336">
        <v>10</v>
      </c>
      <c r="K10" s="336">
        <v>11</v>
      </c>
      <c r="L10" s="336">
        <v>12</v>
      </c>
      <c r="M10" s="336">
        <v>13</v>
      </c>
      <c r="N10" s="336">
        <v>14</v>
      </c>
      <c r="O10" s="336">
        <v>15</v>
      </c>
      <c r="P10" s="336">
        <v>16</v>
      </c>
    </row>
    <row r="11" spans="1:16" s="340" customFormat="1" ht="18" x14ac:dyDescent="0.25">
      <c r="A11" s="338">
        <v>1</v>
      </c>
      <c r="B11" s="339" t="s">
        <v>896</v>
      </c>
      <c r="C11" s="1158" t="s">
        <v>946</v>
      </c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  <c r="O11" s="1158"/>
      <c r="P11" s="1158"/>
    </row>
    <row r="12" spans="1:16" s="340" customFormat="1" ht="18" x14ac:dyDescent="0.25">
      <c r="A12" s="338">
        <v>2</v>
      </c>
      <c r="B12" s="339" t="s">
        <v>897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</row>
    <row r="13" spans="1:16" s="340" customFormat="1" ht="18" x14ac:dyDescent="0.25">
      <c r="A13" s="338">
        <v>3</v>
      </c>
      <c r="B13" s="339" t="s">
        <v>898</v>
      </c>
      <c r="C13" s="1158"/>
      <c r="D13" s="1158"/>
      <c r="E13" s="1158"/>
      <c r="F13" s="1158"/>
      <c r="G13" s="1158"/>
      <c r="H13" s="1158"/>
      <c r="I13" s="1158"/>
      <c r="J13" s="1158"/>
      <c r="K13" s="1158"/>
      <c r="L13" s="1158"/>
      <c r="M13" s="1158"/>
      <c r="N13" s="1158"/>
      <c r="O13" s="1158"/>
      <c r="P13" s="1158"/>
    </row>
    <row r="14" spans="1:16" s="340" customFormat="1" ht="18" x14ac:dyDescent="0.25">
      <c r="A14" s="338">
        <v>4</v>
      </c>
      <c r="B14" s="339" t="s">
        <v>899</v>
      </c>
      <c r="C14" s="1158"/>
      <c r="D14" s="1158"/>
      <c r="E14" s="1158"/>
      <c r="F14" s="1158"/>
      <c r="G14" s="1158"/>
      <c r="H14" s="1158"/>
      <c r="I14" s="1158"/>
      <c r="J14" s="1158"/>
      <c r="K14" s="1158"/>
      <c r="L14" s="1158"/>
      <c r="M14" s="1158"/>
      <c r="N14" s="1158"/>
      <c r="O14" s="1158"/>
      <c r="P14" s="1158"/>
    </row>
    <row r="15" spans="1:16" s="340" customFormat="1" ht="18" x14ac:dyDescent="0.25">
      <c r="A15" s="338">
        <v>5</v>
      </c>
      <c r="B15" s="339" t="s">
        <v>900</v>
      </c>
      <c r="C15" s="1158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1158"/>
      <c r="O15" s="1158"/>
      <c r="P15" s="1158"/>
    </row>
    <row r="16" spans="1:16" s="340" customFormat="1" ht="18" x14ac:dyDescent="0.25">
      <c r="A16" s="338">
        <v>6</v>
      </c>
      <c r="B16" s="339" t="s">
        <v>901</v>
      </c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58"/>
      <c r="O16" s="1158"/>
      <c r="P16" s="1158"/>
    </row>
    <row r="17" spans="1:16" s="340" customFormat="1" ht="18" x14ac:dyDescent="0.25">
      <c r="A17" s="338">
        <v>7</v>
      </c>
      <c r="B17" s="339" t="s">
        <v>902</v>
      </c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</row>
    <row r="18" spans="1:16" s="340" customFormat="1" ht="18" x14ac:dyDescent="0.25">
      <c r="A18" s="338">
        <v>8</v>
      </c>
      <c r="B18" s="339" t="s">
        <v>903</v>
      </c>
      <c r="C18" s="1158"/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  <c r="O18" s="1158"/>
      <c r="P18" s="1158"/>
    </row>
    <row r="19" spans="1:16" s="340" customFormat="1" ht="18" x14ac:dyDescent="0.25">
      <c r="A19" s="338">
        <v>9</v>
      </c>
      <c r="B19" s="339" t="s">
        <v>904</v>
      </c>
      <c r="C19" s="1158"/>
      <c r="D19" s="1158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  <c r="O19" s="1158"/>
      <c r="P19" s="1158"/>
    </row>
    <row r="20" spans="1:16" s="340" customFormat="1" ht="18" x14ac:dyDescent="0.25">
      <c r="A20" s="338">
        <v>10</v>
      </c>
      <c r="B20" s="339" t="s">
        <v>905</v>
      </c>
      <c r="C20" s="1158"/>
      <c r="D20" s="1158"/>
      <c r="E20" s="1158"/>
      <c r="F20" s="1158"/>
      <c r="G20" s="1158"/>
      <c r="H20" s="1158"/>
      <c r="I20" s="1158"/>
      <c r="J20" s="1158"/>
      <c r="K20" s="1158"/>
      <c r="L20" s="1158"/>
      <c r="M20" s="1158"/>
      <c r="N20" s="1158"/>
      <c r="O20" s="1158"/>
      <c r="P20" s="1158"/>
    </row>
    <row r="21" spans="1:16" s="340" customFormat="1" ht="18" x14ac:dyDescent="0.25">
      <c r="A21" s="338">
        <v>11</v>
      </c>
      <c r="B21" s="339" t="s">
        <v>906</v>
      </c>
      <c r="C21" s="1158"/>
      <c r="D21" s="1158"/>
      <c r="E21" s="1158"/>
      <c r="F21" s="1158"/>
      <c r="G21" s="1158"/>
      <c r="H21" s="1158"/>
      <c r="I21" s="1158"/>
      <c r="J21" s="1158"/>
      <c r="K21" s="1158"/>
      <c r="L21" s="1158"/>
      <c r="M21" s="1158"/>
      <c r="N21" s="1158"/>
      <c r="O21" s="1158"/>
      <c r="P21" s="1158"/>
    </row>
    <row r="22" spans="1:16" s="340" customFormat="1" ht="18" x14ac:dyDescent="0.25">
      <c r="A22" s="338">
        <v>12</v>
      </c>
      <c r="B22" s="339" t="s">
        <v>907</v>
      </c>
      <c r="C22" s="1158"/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  <c r="O22" s="1158"/>
      <c r="P22" s="1158"/>
    </row>
    <row r="23" spans="1:16" s="340" customFormat="1" ht="18" x14ac:dyDescent="0.25">
      <c r="A23" s="338">
        <v>13</v>
      </c>
      <c r="B23" s="339" t="s">
        <v>908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</row>
    <row r="24" spans="1:16" s="340" customFormat="1" ht="18" x14ac:dyDescent="0.25">
      <c r="A24" s="338">
        <v>14</v>
      </c>
      <c r="B24" s="339" t="s">
        <v>909</v>
      </c>
      <c r="C24" s="1158"/>
      <c r="D24" s="1158"/>
      <c r="E24" s="1158"/>
      <c r="F24" s="1158"/>
      <c r="G24" s="1158"/>
      <c r="H24" s="1158"/>
      <c r="I24" s="1158"/>
      <c r="J24" s="1158"/>
      <c r="K24" s="1158"/>
      <c r="L24" s="1158"/>
      <c r="M24" s="1158"/>
      <c r="N24" s="1158"/>
      <c r="O24" s="1158"/>
      <c r="P24" s="1158"/>
    </row>
    <row r="25" spans="1:16" s="340" customFormat="1" ht="18" x14ac:dyDescent="0.25">
      <c r="A25" s="338">
        <v>15</v>
      </c>
      <c r="B25" s="339" t="s">
        <v>910</v>
      </c>
      <c r="C25" s="1158"/>
      <c r="D25" s="1158"/>
      <c r="E25" s="1158"/>
      <c r="F25" s="1158"/>
      <c r="G25" s="1158"/>
      <c r="H25" s="1158"/>
      <c r="I25" s="1158"/>
      <c r="J25" s="1158"/>
      <c r="K25" s="1158"/>
      <c r="L25" s="1158"/>
      <c r="M25" s="1158"/>
      <c r="N25" s="1158"/>
      <c r="O25" s="1158"/>
      <c r="P25" s="1158"/>
    </row>
    <row r="26" spans="1:16" s="340" customFormat="1" ht="18" x14ac:dyDescent="0.25">
      <c r="A26" s="338">
        <v>16</v>
      </c>
      <c r="B26" s="339" t="s">
        <v>911</v>
      </c>
      <c r="C26" s="1158"/>
      <c r="D26" s="1158"/>
      <c r="E26" s="1158"/>
      <c r="F26" s="1158"/>
      <c r="G26" s="1158"/>
      <c r="H26" s="1158"/>
      <c r="I26" s="1158"/>
      <c r="J26" s="1158"/>
      <c r="K26" s="1158"/>
      <c r="L26" s="1158"/>
      <c r="M26" s="1158"/>
      <c r="N26" s="1158"/>
      <c r="O26" s="1158"/>
      <c r="P26" s="1158"/>
    </row>
    <row r="27" spans="1:16" s="340" customFormat="1" ht="16.5" customHeight="1" x14ac:dyDescent="0.25">
      <c r="A27" s="338">
        <v>17</v>
      </c>
      <c r="B27" s="339" t="s">
        <v>912</v>
      </c>
      <c r="C27" s="1158"/>
      <c r="D27" s="1158"/>
      <c r="E27" s="1158"/>
      <c r="F27" s="1158"/>
      <c r="G27" s="1158"/>
      <c r="H27" s="1158"/>
      <c r="I27" s="1158"/>
      <c r="J27" s="1158"/>
      <c r="K27" s="1158"/>
      <c r="L27" s="1158"/>
      <c r="M27" s="1158"/>
      <c r="N27" s="1158"/>
      <c r="O27" s="1158"/>
      <c r="P27" s="1158"/>
    </row>
    <row r="28" spans="1:16" s="340" customFormat="1" ht="18" x14ac:dyDescent="0.25">
      <c r="A28" s="338">
        <v>18</v>
      </c>
      <c r="B28" s="339" t="s">
        <v>913</v>
      </c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58"/>
    </row>
    <row r="29" spans="1:16" s="340" customFormat="1" ht="18" x14ac:dyDescent="0.25">
      <c r="A29" s="338">
        <v>19</v>
      </c>
      <c r="B29" s="339" t="s">
        <v>914</v>
      </c>
      <c r="C29" s="1158"/>
      <c r="D29" s="1158"/>
      <c r="E29" s="1158"/>
      <c r="F29" s="1158"/>
      <c r="G29" s="1158"/>
      <c r="H29" s="1158"/>
      <c r="I29" s="1158"/>
      <c r="J29" s="1158"/>
      <c r="K29" s="1158"/>
      <c r="L29" s="1158"/>
      <c r="M29" s="1158"/>
      <c r="N29" s="1158"/>
      <c r="O29" s="1158"/>
      <c r="P29" s="1158"/>
    </row>
    <row r="30" spans="1:16" s="340" customFormat="1" ht="18" x14ac:dyDescent="0.25">
      <c r="A30" s="338">
        <v>20</v>
      </c>
      <c r="B30" s="339" t="s">
        <v>915</v>
      </c>
      <c r="C30" s="1158"/>
      <c r="D30" s="1158"/>
      <c r="E30" s="1158"/>
      <c r="F30" s="1158"/>
      <c r="G30" s="1158"/>
      <c r="H30" s="1158"/>
      <c r="I30" s="1158"/>
      <c r="J30" s="1158"/>
      <c r="K30" s="1158"/>
      <c r="L30" s="1158"/>
      <c r="M30" s="1158"/>
      <c r="N30" s="1158"/>
      <c r="O30" s="1158"/>
      <c r="P30" s="1158"/>
    </row>
    <row r="31" spans="1:16" s="340" customFormat="1" ht="18" x14ac:dyDescent="0.25">
      <c r="A31" s="338">
        <v>21</v>
      </c>
      <c r="B31" s="339" t="s">
        <v>916</v>
      </c>
      <c r="C31" s="1158"/>
      <c r="D31" s="1158"/>
      <c r="E31" s="1158"/>
      <c r="F31" s="1158"/>
      <c r="G31" s="1158"/>
      <c r="H31" s="1158"/>
      <c r="I31" s="1158"/>
      <c r="J31" s="1158"/>
      <c r="K31" s="1158"/>
      <c r="L31" s="1158"/>
      <c r="M31" s="1158"/>
      <c r="N31" s="1158"/>
      <c r="O31" s="1158"/>
      <c r="P31" s="1158"/>
    </row>
    <row r="32" spans="1:16" s="340" customFormat="1" ht="18" x14ac:dyDescent="0.25">
      <c r="A32" s="338">
        <v>22</v>
      </c>
      <c r="B32" s="339" t="s">
        <v>917</v>
      </c>
      <c r="C32" s="1158"/>
      <c r="D32" s="1158"/>
      <c r="E32" s="1158"/>
      <c r="F32" s="1158"/>
      <c r="G32" s="1158"/>
      <c r="H32" s="1158"/>
      <c r="I32" s="1158"/>
      <c r="J32" s="1158"/>
      <c r="K32" s="1158"/>
      <c r="L32" s="1158"/>
      <c r="M32" s="1158"/>
      <c r="N32" s="1158"/>
      <c r="O32" s="1158"/>
      <c r="P32" s="1158"/>
    </row>
    <row r="33" spans="1:16" s="340" customFormat="1" ht="18" x14ac:dyDescent="0.25">
      <c r="A33" s="338">
        <v>23</v>
      </c>
      <c r="B33" s="339" t="s">
        <v>918</v>
      </c>
      <c r="C33" s="1158"/>
      <c r="D33" s="1158"/>
      <c r="E33" s="1158"/>
      <c r="F33" s="1158"/>
      <c r="G33" s="1158"/>
      <c r="H33" s="1158"/>
      <c r="I33" s="1158"/>
      <c r="J33" s="1158"/>
      <c r="K33" s="1158"/>
      <c r="L33" s="1158"/>
      <c r="M33" s="1158"/>
      <c r="N33" s="1158"/>
      <c r="O33" s="1158"/>
      <c r="P33" s="1158"/>
    </row>
    <row r="34" spans="1:16" s="340" customFormat="1" ht="18" x14ac:dyDescent="0.25">
      <c r="A34" s="338">
        <v>24</v>
      </c>
      <c r="B34" s="339" t="s">
        <v>919</v>
      </c>
      <c r="C34" s="1158"/>
      <c r="D34" s="1158"/>
      <c r="E34" s="1158"/>
      <c r="F34" s="1158"/>
      <c r="G34" s="1158"/>
      <c r="H34" s="1158"/>
      <c r="I34" s="1158"/>
      <c r="J34" s="1158"/>
      <c r="K34" s="1158"/>
      <c r="L34" s="1158"/>
      <c r="M34" s="1158"/>
      <c r="N34" s="1158"/>
      <c r="O34" s="1158"/>
      <c r="P34" s="1158"/>
    </row>
    <row r="35" spans="1:16" s="340" customFormat="1" ht="27.75" x14ac:dyDescent="0.25">
      <c r="A35" s="685"/>
      <c r="B35" s="686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</row>
    <row r="36" spans="1:16" ht="12.75" customHeight="1" x14ac:dyDescent="0.2">
      <c r="E36" s="337"/>
      <c r="F36" s="1135"/>
      <c r="G36" s="1135"/>
      <c r="H36" s="1135"/>
      <c r="I36" s="1135"/>
      <c r="J36" s="1135"/>
      <c r="K36" s="1135"/>
      <c r="L36" s="1135"/>
      <c r="M36" s="1135"/>
      <c r="N36" s="1135"/>
    </row>
    <row r="37" spans="1:16" ht="12.75" customHeight="1" x14ac:dyDescent="0.25">
      <c r="A37" s="681" t="s">
        <v>147</v>
      </c>
      <c r="B37" s="591"/>
      <c r="C37" s="610"/>
      <c r="D37" s="592"/>
      <c r="E37" s="593"/>
      <c r="F37" s="593"/>
      <c r="G37" s="593"/>
      <c r="H37" s="593"/>
      <c r="I37" s="593"/>
      <c r="J37" s="593"/>
      <c r="K37" s="593"/>
      <c r="L37" s="593"/>
      <c r="M37" s="593"/>
      <c r="N37" s="593"/>
    </row>
    <row r="38" spans="1:16" ht="18" x14ac:dyDescent="0.25">
      <c r="A38" s="590"/>
      <c r="B38" s="591"/>
      <c r="C38" s="610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</row>
    <row r="39" spans="1:16" ht="18" x14ac:dyDescent="0.25">
      <c r="A39" s="590"/>
      <c r="B39" s="591"/>
      <c r="C39" s="610"/>
      <c r="D39" s="593"/>
      <c r="E39" s="593"/>
      <c r="F39" s="593"/>
      <c r="G39" s="593"/>
      <c r="H39" s="593"/>
      <c r="I39" s="593"/>
      <c r="J39" s="593"/>
      <c r="K39" s="593"/>
      <c r="L39" s="682"/>
      <c r="M39" s="682" t="s">
        <v>12</v>
      </c>
      <c r="N39" s="593"/>
    </row>
    <row r="40" spans="1:16" x14ac:dyDescent="0.2">
      <c r="A40" s="574"/>
      <c r="B40" s="574"/>
      <c r="C40" s="574"/>
      <c r="D40" s="574"/>
      <c r="E40" s="580"/>
      <c r="F40" s="1131" t="s">
        <v>13</v>
      </c>
      <c r="G40" s="1131"/>
      <c r="H40" s="1131"/>
      <c r="I40" s="1131"/>
      <c r="J40" s="1131"/>
      <c r="K40" s="1131"/>
      <c r="L40" s="1131"/>
      <c r="M40" s="1131"/>
      <c r="N40" s="1131"/>
    </row>
    <row r="41" spans="1:16" x14ac:dyDescent="0.2">
      <c r="A41" s="574"/>
      <c r="B41" s="574"/>
      <c r="C41" s="574"/>
      <c r="D41" s="574"/>
      <c r="E41" s="680"/>
      <c r="F41" s="680"/>
      <c r="G41" s="680"/>
      <c r="H41" s="680"/>
      <c r="I41" s="680"/>
      <c r="J41" s="680"/>
      <c r="K41" s="680"/>
      <c r="L41" s="680" t="s">
        <v>87</v>
      </c>
      <c r="M41" s="680"/>
      <c r="N41" s="680"/>
    </row>
    <row r="42" spans="1:16" x14ac:dyDescent="0.2">
      <c r="A42" s="580"/>
      <c r="B42" s="580"/>
      <c r="C42" s="574"/>
      <c r="D42" s="574"/>
      <c r="E42" s="574"/>
      <c r="F42" s="580"/>
      <c r="G42" s="580"/>
      <c r="H42" s="580"/>
      <c r="I42" s="580"/>
      <c r="J42" s="580"/>
      <c r="K42" s="580"/>
      <c r="L42" s="580" t="s">
        <v>703</v>
      </c>
      <c r="M42" s="580"/>
      <c r="N42" s="580"/>
    </row>
    <row r="43" spans="1:16" x14ac:dyDescent="0.2">
      <c r="A43" s="574"/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</row>
  </sheetData>
  <mergeCells count="19">
    <mergeCell ref="F40:N40"/>
    <mergeCell ref="A6:N6"/>
    <mergeCell ref="D1:E1"/>
    <mergeCell ref="M1:N1"/>
    <mergeCell ref="A2:N2"/>
    <mergeCell ref="A3:N3"/>
    <mergeCell ref="A4:P4"/>
    <mergeCell ref="F36:N36"/>
    <mergeCell ref="A7:B7"/>
    <mergeCell ref="H7:N7"/>
    <mergeCell ref="A8:A9"/>
    <mergeCell ref="B8:B9"/>
    <mergeCell ref="C8:C9"/>
    <mergeCell ref="D8:D9"/>
    <mergeCell ref="E8:H8"/>
    <mergeCell ref="C11:P34"/>
    <mergeCell ref="O1:P1"/>
    <mergeCell ref="O8:P8"/>
    <mergeCell ref="I8:N8"/>
  </mergeCells>
  <printOptions horizontalCentered="1"/>
  <pageMargins left="0.70866141732283472" right="0.16" top="0.23622047244094491" bottom="0" header="0.17" footer="0.31496062992125984"/>
  <pageSetup paperSize="9" scale="6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X53"/>
  <sheetViews>
    <sheetView topLeftCell="A22" zoomScaleSheetLayoutView="100" workbookViewId="0">
      <selection activeCell="C29" sqref="C29"/>
    </sheetView>
  </sheetViews>
  <sheetFormatPr defaultColWidth="9.140625" defaultRowHeight="15" x14ac:dyDescent="0.25"/>
  <cols>
    <col min="1" max="1" width="7.140625" style="71" customWidth="1"/>
    <col min="2" max="2" width="17.85546875" style="71" bestFit="1" customWidth="1"/>
    <col min="3" max="4" width="8.5703125" style="71" customWidth="1"/>
    <col min="5" max="5" width="8.7109375" style="71" customWidth="1"/>
    <col min="6" max="6" width="8.5703125" style="71" customWidth="1"/>
    <col min="7" max="7" width="9.7109375" style="71" customWidth="1"/>
    <col min="8" max="8" width="9.85546875" style="71" customWidth="1"/>
    <col min="9" max="9" width="9.7109375" style="71" customWidth="1"/>
    <col min="10" max="10" width="9.28515625" style="71" customWidth="1"/>
    <col min="11" max="14" width="9" style="71" customWidth="1"/>
    <col min="15" max="18" width="11.28515625" style="71" customWidth="1"/>
    <col min="19" max="19" width="9" style="71" customWidth="1"/>
    <col min="20" max="20" width="0.85546875" style="71" customWidth="1"/>
    <col min="21" max="16384" width="9.140625" style="71"/>
  </cols>
  <sheetData>
    <row r="1" spans="1:20" s="15" customFormat="1" ht="15.75" x14ac:dyDescent="0.25">
      <c r="G1" s="850" t="s">
        <v>0</v>
      </c>
      <c r="H1" s="850"/>
      <c r="I1" s="850"/>
      <c r="J1" s="850"/>
      <c r="K1" s="850"/>
      <c r="L1" s="850"/>
      <c r="M1" s="850"/>
      <c r="N1" s="37"/>
      <c r="O1" s="37"/>
      <c r="R1" s="40" t="s">
        <v>532</v>
      </c>
      <c r="S1" s="40"/>
    </row>
    <row r="2" spans="1:20" s="15" customFormat="1" ht="20.25" x14ac:dyDescent="0.3">
      <c r="B2" s="112"/>
      <c r="E2" s="851" t="s">
        <v>740</v>
      </c>
      <c r="F2" s="851"/>
      <c r="G2" s="851"/>
      <c r="H2" s="851"/>
      <c r="I2" s="851"/>
      <c r="J2" s="851"/>
      <c r="K2" s="851"/>
      <c r="L2" s="851"/>
      <c r="M2" s="851"/>
      <c r="N2" s="851"/>
      <c r="O2" s="851"/>
    </row>
    <row r="3" spans="1:20" s="15" customFormat="1" ht="20.25" x14ac:dyDescent="0.3">
      <c r="B3" s="111"/>
      <c r="C3" s="111"/>
      <c r="D3" s="111"/>
      <c r="E3" s="111"/>
      <c r="F3" s="111"/>
      <c r="G3" s="111"/>
      <c r="H3" s="111"/>
      <c r="I3" s="111"/>
      <c r="J3" s="111"/>
    </row>
    <row r="4" spans="1:20" ht="18" x14ac:dyDescent="0.25">
      <c r="B4" s="1165" t="s">
        <v>753</v>
      </c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</row>
    <row r="5" spans="1:20" x14ac:dyDescent="0.25">
      <c r="C5" s="72"/>
      <c r="D5" s="72"/>
      <c r="E5" s="72"/>
      <c r="F5" s="72"/>
      <c r="G5" s="72"/>
      <c r="H5" s="72"/>
      <c r="M5" s="72"/>
      <c r="N5" s="72"/>
      <c r="O5" s="72"/>
      <c r="P5" s="72"/>
      <c r="Q5" s="72"/>
      <c r="R5" s="72"/>
      <c r="S5" s="72"/>
      <c r="T5" s="72"/>
    </row>
    <row r="6" spans="1:20" x14ac:dyDescent="0.25">
      <c r="A6" s="820" t="s">
        <v>920</v>
      </c>
      <c r="B6" s="820"/>
    </row>
    <row r="7" spans="1:20" x14ac:dyDescent="0.25">
      <c r="B7" s="74"/>
    </row>
    <row r="8" spans="1:20" s="75" customFormat="1" ht="42" customHeight="1" x14ac:dyDescent="0.25">
      <c r="A8" s="834" t="s">
        <v>2</v>
      </c>
      <c r="B8" s="1166" t="s">
        <v>3</v>
      </c>
      <c r="C8" s="1163" t="s">
        <v>234</v>
      </c>
      <c r="D8" s="1163"/>
      <c r="E8" s="1163"/>
      <c r="F8" s="1163"/>
      <c r="G8" s="1160" t="s">
        <v>887</v>
      </c>
      <c r="H8" s="1161"/>
      <c r="I8" s="1161"/>
      <c r="J8" s="1164"/>
      <c r="K8" s="1160" t="s">
        <v>203</v>
      </c>
      <c r="L8" s="1161"/>
      <c r="M8" s="1161"/>
      <c r="N8" s="1164"/>
      <c r="O8" s="1160" t="s">
        <v>109</v>
      </c>
      <c r="P8" s="1161"/>
      <c r="Q8" s="1161"/>
      <c r="R8" s="1162"/>
    </row>
    <row r="9" spans="1:20" s="76" customFormat="1" ht="37.5" customHeight="1" x14ac:dyDescent="0.25">
      <c r="A9" s="834"/>
      <c r="B9" s="1167"/>
      <c r="C9" s="79" t="s">
        <v>95</v>
      </c>
      <c r="D9" s="79" t="s">
        <v>99</v>
      </c>
      <c r="E9" s="79" t="s">
        <v>100</v>
      </c>
      <c r="F9" s="79" t="s">
        <v>18</v>
      </c>
      <c r="G9" s="79" t="s">
        <v>95</v>
      </c>
      <c r="H9" s="79" t="s">
        <v>99</v>
      </c>
      <c r="I9" s="79" t="s">
        <v>100</v>
      </c>
      <c r="J9" s="79" t="s">
        <v>18</v>
      </c>
      <c r="K9" s="79" t="s">
        <v>95</v>
      </c>
      <c r="L9" s="79" t="s">
        <v>99</v>
      </c>
      <c r="M9" s="79" t="s">
        <v>100</v>
      </c>
      <c r="N9" s="79" t="s">
        <v>18</v>
      </c>
      <c r="O9" s="79" t="s">
        <v>137</v>
      </c>
      <c r="P9" s="79" t="s">
        <v>138</v>
      </c>
      <c r="Q9" s="141" t="s">
        <v>139</v>
      </c>
      <c r="R9" s="79" t="s">
        <v>140</v>
      </c>
      <c r="S9" s="105"/>
    </row>
    <row r="10" spans="1:20" s="246" customFormat="1" ht="16.149999999999999" customHeight="1" x14ac:dyDescent="0.2">
      <c r="A10" s="351">
        <v>1</v>
      </c>
      <c r="B10" s="352">
        <v>2</v>
      </c>
      <c r="C10" s="352">
        <v>3</v>
      </c>
      <c r="D10" s="352">
        <v>4</v>
      </c>
      <c r="E10" s="352">
        <v>5</v>
      </c>
      <c r="F10" s="352">
        <v>6</v>
      </c>
      <c r="G10" s="352">
        <v>7</v>
      </c>
      <c r="H10" s="352">
        <v>8</v>
      </c>
      <c r="I10" s="352">
        <v>9</v>
      </c>
      <c r="J10" s="352">
        <v>10</v>
      </c>
      <c r="K10" s="352">
        <v>11</v>
      </c>
      <c r="L10" s="352">
        <v>12</v>
      </c>
      <c r="M10" s="352">
        <v>13</v>
      </c>
      <c r="N10" s="352">
        <v>14</v>
      </c>
      <c r="O10" s="352">
        <v>15</v>
      </c>
      <c r="P10" s="352">
        <v>16</v>
      </c>
      <c r="Q10" s="352">
        <v>17</v>
      </c>
      <c r="R10" s="352">
        <v>18</v>
      </c>
    </row>
    <row r="11" spans="1:20" s="46" customFormat="1" ht="21.75" customHeight="1" x14ac:dyDescent="0.25">
      <c r="A11" s="348">
        <v>1</v>
      </c>
      <c r="B11" s="349" t="s">
        <v>896</v>
      </c>
      <c r="C11" s="350">
        <f>'AT3A_cvrg(Insti)_PY'!H12+'AT3B_cvrg(Insti)_UPY '!H11+'AT3C_cvrg(Insti)_UPY '!H11</f>
        <v>2021</v>
      </c>
      <c r="D11" s="350">
        <f>'AT3A_cvrg(Insti)_PY'!I12+'AT3B_cvrg(Insti)_UPY '!I11+'AT3C_cvrg(Insti)_UPY '!I11</f>
        <v>126</v>
      </c>
      <c r="E11" s="350">
        <v>0</v>
      </c>
      <c r="F11" s="350">
        <f>SUM(C11:E11)</f>
        <v>2147</v>
      </c>
      <c r="G11" s="353">
        <v>2454</v>
      </c>
      <c r="H11" s="354">
        <v>124</v>
      </c>
      <c r="I11" s="354">
        <v>0</v>
      </c>
      <c r="J11" s="353">
        <f>SUM(G11:I11)</f>
        <v>2578</v>
      </c>
      <c r="K11" s="355">
        <v>0</v>
      </c>
      <c r="L11" s="354">
        <v>0</v>
      </c>
      <c r="M11" s="354">
        <v>0</v>
      </c>
      <c r="N11" s="355">
        <v>0</v>
      </c>
      <c r="O11" s="459">
        <v>0</v>
      </c>
      <c r="P11" s="459">
        <v>0</v>
      </c>
      <c r="Q11" s="459">
        <f>E11-I11-M11</f>
        <v>0</v>
      </c>
      <c r="R11" s="459">
        <v>0</v>
      </c>
    </row>
    <row r="12" spans="1:20" s="46" customFormat="1" ht="21.75" customHeight="1" x14ac:dyDescent="0.25">
      <c r="A12" s="348">
        <v>2</v>
      </c>
      <c r="B12" s="349" t="s">
        <v>897</v>
      </c>
      <c r="C12" s="350">
        <f>'AT3A_cvrg(Insti)_PY'!H13+'AT3B_cvrg(Insti)_UPY '!H12+'AT3C_cvrg(Insti)_UPY '!H12</f>
        <v>750</v>
      </c>
      <c r="D12" s="350">
        <f>'AT3A_cvrg(Insti)_PY'!I13+'AT3B_cvrg(Insti)_UPY '!I12+'AT3C_cvrg(Insti)_UPY '!I12</f>
        <v>118</v>
      </c>
      <c r="E12" s="350">
        <v>0</v>
      </c>
      <c r="F12" s="350">
        <f t="shared" ref="F12:F34" si="0">SUM(C12:E12)</f>
        <v>868</v>
      </c>
      <c r="G12" s="353">
        <v>977</v>
      </c>
      <c r="H12" s="354">
        <v>44</v>
      </c>
      <c r="I12" s="354">
        <v>0</v>
      </c>
      <c r="J12" s="353">
        <f t="shared" ref="J12:J34" si="1">SUM(G12:I12)</f>
        <v>1021</v>
      </c>
      <c r="K12" s="355">
        <v>0</v>
      </c>
      <c r="L12" s="354">
        <v>0</v>
      </c>
      <c r="M12" s="354">
        <v>0</v>
      </c>
      <c r="N12" s="355">
        <v>0</v>
      </c>
      <c r="O12" s="459">
        <v>0</v>
      </c>
      <c r="P12" s="459">
        <v>0</v>
      </c>
      <c r="Q12" s="459">
        <f t="shared" ref="Q12:Q34" si="2">E12-I12-M12</f>
        <v>0</v>
      </c>
      <c r="R12" s="459">
        <v>0</v>
      </c>
    </row>
    <row r="13" spans="1:20" s="46" customFormat="1" ht="21.75" customHeight="1" x14ac:dyDescent="0.25">
      <c r="A13" s="348">
        <v>3</v>
      </c>
      <c r="B13" s="349" t="s">
        <v>898</v>
      </c>
      <c r="C13" s="350">
        <f>'AT3A_cvrg(Insti)_PY'!H14+'AT3B_cvrg(Insti)_UPY '!H13+'AT3C_cvrg(Insti)_UPY '!H13</f>
        <v>478</v>
      </c>
      <c r="D13" s="350">
        <f>'AT3A_cvrg(Insti)_PY'!I14+'AT3B_cvrg(Insti)_UPY '!I13+'AT3C_cvrg(Insti)_UPY '!I13</f>
        <v>13</v>
      </c>
      <c r="E13" s="350">
        <v>0</v>
      </c>
      <c r="F13" s="350">
        <f t="shared" si="0"/>
        <v>491</v>
      </c>
      <c r="G13" s="353">
        <v>705</v>
      </c>
      <c r="H13" s="354">
        <v>5</v>
      </c>
      <c r="I13" s="354">
        <v>0</v>
      </c>
      <c r="J13" s="353">
        <f t="shared" si="1"/>
        <v>710</v>
      </c>
      <c r="K13" s="355">
        <v>0</v>
      </c>
      <c r="L13" s="354">
        <v>0</v>
      </c>
      <c r="M13" s="354">
        <v>0</v>
      </c>
      <c r="N13" s="355">
        <v>0</v>
      </c>
      <c r="O13" s="459">
        <v>0</v>
      </c>
      <c r="P13" s="459">
        <v>0</v>
      </c>
      <c r="Q13" s="459">
        <f t="shared" si="2"/>
        <v>0</v>
      </c>
      <c r="R13" s="459">
        <v>0</v>
      </c>
    </row>
    <row r="14" spans="1:20" s="46" customFormat="1" ht="21.75" customHeight="1" x14ac:dyDescent="0.25">
      <c r="A14" s="348">
        <v>4</v>
      </c>
      <c r="B14" s="349" t="s">
        <v>899</v>
      </c>
      <c r="C14" s="350">
        <f>'AT3A_cvrg(Insti)_PY'!H15+'AT3B_cvrg(Insti)_UPY '!H14+'AT3C_cvrg(Insti)_UPY '!H14</f>
        <v>1299</v>
      </c>
      <c r="D14" s="350">
        <f>'AT3A_cvrg(Insti)_PY'!I15+'AT3B_cvrg(Insti)_UPY '!I14+'AT3C_cvrg(Insti)_UPY '!I14</f>
        <v>219</v>
      </c>
      <c r="E14" s="350">
        <v>0</v>
      </c>
      <c r="F14" s="350">
        <f t="shared" si="0"/>
        <v>1518</v>
      </c>
      <c r="G14" s="353">
        <v>1646</v>
      </c>
      <c r="H14" s="354">
        <v>130</v>
      </c>
      <c r="I14" s="354">
        <v>0</v>
      </c>
      <c r="J14" s="353">
        <f t="shared" si="1"/>
        <v>1776</v>
      </c>
      <c r="K14" s="355">
        <v>347</v>
      </c>
      <c r="L14" s="354">
        <v>0</v>
      </c>
      <c r="M14" s="354">
        <v>0</v>
      </c>
      <c r="N14" s="355">
        <v>347</v>
      </c>
      <c r="O14" s="459">
        <v>0</v>
      </c>
      <c r="P14" s="459">
        <v>0</v>
      </c>
      <c r="Q14" s="459">
        <f t="shared" si="2"/>
        <v>0</v>
      </c>
      <c r="R14" s="459">
        <v>0</v>
      </c>
    </row>
    <row r="15" spans="1:20" s="46" customFormat="1" ht="21.75" customHeight="1" x14ac:dyDescent="0.25">
      <c r="A15" s="348">
        <v>5</v>
      </c>
      <c r="B15" s="349" t="s">
        <v>900</v>
      </c>
      <c r="C15" s="350">
        <f>'AT3A_cvrg(Insti)_PY'!H16+'AT3B_cvrg(Insti)_UPY '!H15+'AT3C_cvrg(Insti)_UPY '!H15</f>
        <v>744</v>
      </c>
      <c r="D15" s="350">
        <f>'AT3A_cvrg(Insti)_PY'!I16+'AT3B_cvrg(Insti)_UPY '!I15+'AT3C_cvrg(Insti)_UPY '!I15</f>
        <v>224</v>
      </c>
      <c r="E15" s="350">
        <v>0</v>
      </c>
      <c r="F15" s="350">
        <f t="shared" si="0"/>
        <v>968</v>
      </c>
      <c r="G15" s="353">
        <v>799</v>
      </c>
      <c r="H15" s="354">
        <v>226</v>
      </c>
      <c r="I15" s="354">
        <v>0</v>
      </c>
      <c r="J15" s="353">
        <f t="shared" si="1"/>
        <v>1025</v>
      </c>
      <c r="K15" s="355">
        <v>0</v>
      </c>
      <c r="L15" s="354">
        <v>0</v>
      </c>
      <c r="M15" s="354">
        <v>0</v>
      </c>
      <c r="N15" s="355">
        <v>0</v>
      </c>
      <c r="O15" s="459">
        <v>0</v>
      </c>
      <c r="P15" s="459">
        <v>0</v>
      </c>
      <c r="Q15" s="459">
        <f t="shared" si="2"/>
        <v>0</v>
      </c>
      <c r="R15" s="459">
        <v>0</v>
      </c>
    </row>
    <row r="16" spans="1:20" s="46" customFormat="1" ht="21.75" customHeight="1" x14ac:dyDescent="0.25">
      <c r="A16" s="348">
        <v>6</v>
      </c>
      <c r="B16" s="349" t="s">
        <v>901</v>
      </c>
      <c r="C16" s="350">
        <f>'AT3A_cvrg(Insti)_PY'!H17+'AT3B_cvrg(Insti)_UPY '!H16+'AT3C_cvrg(Insti)_UPY '!H16</f>
        <v>1549</v>
      </c>
      <c r="D16" s="350">
        <f>'AT3A_cvrg(Insti)_PY'!I17+'AT3B_cvrg(Insti)_UPY '!I16+'AT3C_cvrg(Insti)_UPY '!I16</f>
        <v>70</v>
      </c>
      <c r="E16" s="350">
        <v>0</v>
      </c>
      <c r="F16" s="350">
        <f t="shared" si="0"/>
        <v>1619</v>
      </c>
      <c r="G16" s="353">
        <v>1897</v>
      </c>
      <c r="H16" s="354">
        <v>0</v>
      </c>
      <c r="I16" s="354">
        <v>0</v>
      </c>
      <c r="J16" s="353">
        <f t="shared" si="1"/>
        <v>1897</v>
      </c>
      <c r="K16" s="355">
        <v>0</v>
      </c>
      <c r="L16" s="354">
        <v>0</v>
      </c>
      <c r="M16" s="354">
        <v>0</v>
      </c>
      <c r="N16" s="355">
        <v>0</v>
      </c>
      <c r="O16" s="459">
        <v>0</v>
      </c>
      <c r="P16" s="459">
        <v>0</v>
      </c>
      <c r="Q16" s="459">
        <f t="shared" si="2"/>
        <v>0</v>
      </c>
      <c r="R16" s="459">
        <v>0</v>
      </c>
    </row>
    <row r="17" spans="1:18" s="46" customFormat="1" ht="21.75" customHeight="1" x14ac:dyDescent="0.25">
      <c r="A17" s="348">
        <v>7</v>
      </c>
      <c r="B17" s="349" t="s">
        <v>902</v>
      </c>
      <c r="C17" s="350">
        <f>'AT3A_cvrg(Insti)_PY'!H18+'AT3B_cvrg(Insti)_UPY '!H17+'AT3C_cvrg(Insti)_UPY '!H17</f>
        <v>1381</v>
      </c>
      <c r="D17" s="350">
        <f>'AT3A_cvrg(Insti)_PY'!I18+'AT3B_cvrg(Insti)_UPY '!I17+'AT3C_cvrg(Insti)_UPY '!I17</f>
        <v>0</v>
      </c>
      <c r="E17" s="350">
        <v>0</v>
      </c>
      <c r="F17" s="350">
        <f t="shared" si="0"/>
        <v>1381</v>
      </c>
      <c r="G17" s="353">
        <v>1578</v>
      </c>
      <c r="H17" s="354">
        <v>0</v>
      </c>
      <c r="I17" s="354">
        <v>0</v>
      </c>
      <c r="J17" s="353">
        <f t="shared" si="1"/>
        <v>1578</v>
      </c>
      <c r="K17" s="355">
        <v>0</v>
      </c>
      <c r="L17" s="354">
        <v>0</v>
      </c>
      <c r="M17" s="354">
        <v>0</v>
      </c>
      <c r="N17" s="355">
        <v>0</v>
      </c>
      <c r="O17" s="459">
        <v>0</v>
      </c>
      <c r="P17" s="459">
        <v>0</v>
      </c>
      <c r="Q17" s="459">
        <f t="shared" si="2"/>
        <v>0</v>
      </c>
      <c r="R17" s="459">
        <v>0</v>
      </c>
    </row>
    <row r="18" spans="1:18" s="46" customFormat="1" ht="21.75" customHeight="1" x14ac:dyDescent="0.25">
      <c r="A18" s="348">
        <v>8</v>
      </c>
      <c r="B18" s="349" t="s">
        <v>903</v>
      </c>
      <c r="C18" s="350">
        <f>'AT3A_cvrg(Insti)_PY'!H19+'AT3B_cvrg(Insti)_UPY '!H18+'AT3C_cvrg(Insti)_UPY '!H18</f>
        <v>2000</v>
      </c>
      <c r="D18" s="350">
        <f>'AT3A_cvrg(Insti)_PY'!I19+'AT3B_cvrg(Insti)_UPY '!I18+'AT3C_cvrg(Insti)_UPY '!I18</f>
        <v>39</v>
      </c>
      <c r="E18" s="350">
        <v>0</v>
      </c>
      <c r="F18" s="350">
        <f t="shared" si="0"/>
        <v>2039</v>
      </c>
      <c r="G18" s="353">
        <v>2213</v>
      </c>
      <c r="H18" s="354">
        <v>40</v>
      </c>
      <c r="I18" s="354">
        <v>0</v>
      </c>
      <c r="J18" s="353">
        <f t="shared" si="1"/>
        <v>2253</v>
      </c>
      <c r="K18" s="355">
        <v>0</v>
      </c>
      <c r="L18" s="354">
        <v>0</v>
      </c>
      <c r="M18" s="354">
        <v>0</v>
      </c>
      <c r="N18" s="355">
        <v>0</v>
      </c>
      <c r="O18" s="459">
        <v>0</v>
      </c>
      <c r="P18" s="459">
        <v>0</v>
      </c>
      <c r="Q18" s="459">
        <f t="shared" si="2"/>
        <v>0</v>
      </c>
      <c r="R18" s="459">
        <v>0</v>
      </c>
    </row>
    <row r="19" spans="1:18" s="46" customFormat="1" ht="21.75" customHeight="1" x14ac:dyDescent="0.25">
      <c r="A19" s="348">
        <v>9</v>
      </c>
      <c r="B19" s="349" t="s">
        <v>904</v>
      </c>
      <c r="C19" s="350">
        <f>'AT3A_cvrg(Insti)_PY'!H20+'AT3B_cvrg(Insti)_UPY '!H19+'AT3C_cvrg(Insti)_UPY '!H19</f>
        <v>2491</v>
      </c>
      <c r="D19" s="350">
        <f>'AT3A_cvrg(Insti)_PY'!I20+'AT3B_cvrg(Insti)_UPY '!I19+'AT3C_cvrg(Insti)_UPY '!I19</f>
        <v>5</v>
      </c>
      <c r="E19" s="350">
        <v>0</v>
      </c>
      <c r="F19" s="350">
        <f t="shared" si="0"/>
        <v>2496</v>
      </c>
      <c r="G19" s="353">
        <v>2383</v>
      </c>
      <c r="H19" s="354">
        <v>0</v>
      </c>
      <c r="I19" s="354">
        <v>0</v>
      </c>
      <c r="J19" s="353">
        <f t="shared" si="1"/>
        <v>2383</v>
      </c>
      <c r="K19" s="355">
        <v>0</v>
      </c>
      <c r="L19" s="354">
        <v>0</v>
      </c>
      <c r="M19" s="354">
        <v>0</v>
      </c>
      <c r="N19" s="355">
        <v>0</v>
      </c>
      <c r="O19" s="459">
        <v>0</v>
      </c>
      <c r="P19" s="459">
        <v>0</v>
      </c>
      <c r="Q19" s="459">
        <f t="shared" si="2"/>
        <v>0</v>
      </c>
      <c r="R19" s="459">
        <v>0</v>
      </c>
    </row>
    <row r="20" spans="1:18" s="46" customFormat="1" ht="21.75" customHeight="1" x14ac:dyDescent="0.25">
      <c r="A20" s="348">
        <v>10</v>
      </c>
      <c r="B20" s="349" t="s">
        <v>905</v>
      </c>
      <c r="C20" s="350">
        <f>'AT3A_cvrg(Insti)_PY'!H21+'AT3B_cvrg(Insti)_UPY '!H20+'AT3C_cvrg(Insti)_UPY '!H20</f>
        <v>1028</v>
      </c>
      <c r="D20" s="350">
        <f>'AT3A_cvrg(Insti)_PY'!I21+'AT3B_cvrg(Insti)_UPY '!I20+'AT3C_cvrg(Insti)_UPY '!I20</f>
        <v>9</v>
      </c>
      <c r="E20" s="350">
        <v>0</v>
      </c>
      <c r="F20" s="350">
        <f t="shared" si="0"/>
        <v>1037</v>
      </c>
      <c r="G20" s="353">
        <v>1118</v>
      </c>
      <c r="H20" s="354">
        <v>1</v>
      </c>
      <c r="I20" s="354">
        <v>0</v>
      </c>
      <c r="J20" s="353">
        <f t="shared" si="1"/>
        <v>1119</v>
      </c>
      <c r="K20" s="355">
        <v>260</v>
      </c>
      <c r="L20" s="354">
        <v>0</v>
      </c>
      <c r="M20" s="354">
        <v>0</v>
      </c>
      <c r="N20" s="355">
        <v>260</v>
      </c>
      <c r="O20" s="459">
        <v>0</v>
      </c>
      <c r="P20" s="459">
        <v>0</v>
      </c>
      <c r="Q20" s="459">
        <f t="shared" si="2"/>
        <v>0</v>
      </c>
      <c r="R20" s="459">
        <v>0</v>
      </c>
    </row>
    <row r="21" spans="1:18" s="46" customFormat="1" ht="21.75" customHeight="1" x14ac:dyDescent="0.25">
      <c r="A21" s="348">
        <v>11</v>
      </c>
      <c r="B21" s="349" t="s">
        <v>906</v>
      </c>
      <c r="C21" s="350">
        <f>'AT3A_cvrg(Insti)_PY'!H22+'AT3B_cvrg(Insti)_UPY '!H21+'AT3C_cvrg(Insti)_UPY '!H21</f>
        <v>1390</v>
      </c>
      <c r="D21" s="350">
        <f>'AT3A_cvrg(Insti)_PY'!I22+'AT3B_cvrg(Insti)_UPY '!I21+'AT3C_cvrg(Insti)_UPY '!I21</f>
        <v>4</v>
      </c>
      <c r="E21" s="350">
        <v>0</v>
      </c>
      <c r="F21" s="350">
        <f t="shared" si="0"/>
        <v>1394</v>
      </c>
      <c r="G21" s="353">
        <v>1423</v>
      </c>
      <c r="H21" s="354">
        <v>0</v>
      </c>
      <c r="I21" s="354">
        <v>0</v>
      </c>
      <c r="J21" s="353">
        <f t="shared" si="1"/>
        <v>1423</v>
      </c>
      <c r="K21" s="355">
        <v>0</v>
      </c>
      <c r="L21" s="354">
        <v>0</v>
      </c>
      <c r="M21" s="354">
        <v>0</v>
      </c>
      <c r="N21" s="355">
        <v>0</v>
      </c>
      <c r="O21" s="459">
        <v>0</v>
      </c>
      <c r="P21" s="459">
        <v>0</v>
      </c>
      <c r="Q21" s="459">
        <f t="shared" si="2"/>
        <v>0</v>
      </c>
      <c r="R21" s="459">
        <v>0</v>
      </c>
    </row>
    <row r="22" spans="1:18" s="46" customFormat="1" ht="21.75" customHeight="1" x14ac:dyDescent="0.25">
      <c r="A22" s="348">
        <v>12</v>
      </c>
      <c r="B22" s="349" t="s">
        <v>907</v>
      </c>
      <c r="C22" s="350">
        <f>'AT3A_cvrg(Insti)_PY'!H23+'AT3B_cvrg(Insti)_UPY '!H22+'AT3C_cvrg(Insti)_UPY '!H22</f>
        <v>1433</v>
      </c>
      <c r="D22" s="350">
        <f>'AT3A_cvrg(Insti)_PY'!I23+'AT3B_cvrg(Insti)_UPY '!I22+'AT3C_cvrg(Insti)_UPY '!I22</f>
        <v>24</v>
      </c>
      <c r="E22" s="350">
        <v>0</v>
      </c>
      <c r="F22" s="350">
        <f t="shared" si="0"/>
        <v>1457</v>
      </c>
      <c r="G22" s="353">
        <v>1503</v>
      </c>
      <c r="H22" s="354">
        <v>0</v>
      </c>
      <c r="I22" s="354">
        <v>0</v>
      </c>
      <c r="J22" s="353">
        <f t="shared" si="1"/>
        <v>1503</v>
      </c>
      <c r="K22" s="355">
        <v>0</v>
      </c>
      <c r="L22" s="354">
        <v>0</v>
      </c>
      <c r="M22" s="354">
        <v>0</v>
      </c>
      <c r="N22" s="355">
        <v>0</v>
      </c>
      <c r="O22" s="459">
        <v>0</v>
      </c>
      <c r="P22" s="459">
        <v>0</v>
      </c>
      <c r="Q22" s="459">
        <f t="shared" si="2"/>
        <v>0</v>
      </c>
      <c r="R22" s="459">
        <v>0</v>
      </c>
    </row>
    <row r="23" spans="1:18" s="46" customFormat="1" ht="21.75" customHeight="1" x14ac:dyDescent="0.25">
      <c r="A23" s="348">
        <v>13</v>
      </c>
      <c r="B23" s="349" t="s">
        <v>908</v>
      </c>
      <c r="C23" s="350">
        <f>'AT3A_cvrg(Insti)_PY'!H24+'AT3B_cvrg(Insti)_UPY '!H23+'AT3C_cvrg(Insti)_UPY '!H23</f>
        <v>583</v>
      </c>
      <c r="D23" s="350">
        <f>'AT3A_cvrg(Insti)_PY'!I24+'AT3B_cvrg(Insti)_UPY '!I23+'AT3C_cvrg(Insti)_UPY '!I23</f>
        <v>3</v>
      </c>
      <c r="E23" s="350">
        <v>0</v>
      </c>
      <c r="F23" s="350">
        <f t="shared" si="0"/>
        <v>586</v>
      </c>
      <c r="G23" s="353">
        <v>748</v>
      </c>
      <c r="H23" s="354">
        <v>0</v>
      </c>
      <c r="I23" s="354">
        <v>0</v>
      </c>
      <c r="J23" s="353">
        <f t="shared" si="1"/>
        <v>748</v>
      </c>
      <c r="K23" s="355">
        <v>124</v>
      </c>
      <c r="L23" s="354">
        <v>0</v>
      </c>
      <c r="M23" s="354">
        <v>0</v>
      </c>
      <c r="N23" s="355">
        <v>124</v>
      </c>
      <c r="O23" s="459">
        <v>0</v>
      </c>
      <c r="P23" s="459">
        <v>0</v>
      </c>
      <c r="Q23" s="459">
        <f t="shared" si="2"/>
        <v>0</v>
      </c>
      <c r="R23" s="459">
        <v>0</v>
      </c>
    </row>
    <row r="24" spans="1:18" s="46" customFormat="1" ht="21.75" customHeight="1" x14ac:dyDescent="0.25">
      <c r="A24" s="348">
        <v>14</v>
      </c>
      <c r="B24" s="349" t="s">
        <v>909</v>
      </c>
      <c r="C24" s="350">
        <f>'AT3A_cvrg(Insti)_PY'!H25+'AT3B_cvrg(Insti)_UPY '!H24+'AT3C_cvrg(Insti)_UPY '!H24</f>
        <v>651</v>
      </c>
      <c r="D24" s="350">
        <f>'AT3A_cvrg(Insti)_PY'!I25+'AT3B_cvrg(Insti)_UPY '!I24+'AT3C_cvrg(Insti)_UPY '!I24</f>
        <v>3</v>
      </c>
      <c r="E24" s="350">
        <v>0</v>
      </c>
      <c r="F24" s="350">
        <f t="shared" si="0"/>
        <v>654</v>
      </c>
      <c r="G24" s="353">
        <v>771</v>
      </c>
      <c r="H24" s="354">
        <v>0</v>
      </c>
      <c r="I24" s="354">
        <v>0</v>
      </c>
      <c r="J24" s="353">
        <f t="shared" si="1"/>
        <v>771</v>
      </c>
      <c r="K24" s="355">
        <v>0</v>
      </c>
      <c r="L24" s="354">
        <v>0</v>
      </c>
      <c r="M24" s="354">
        <v>0</v>
      </c>
      <c r="N24" s="355">
        <v>0</v>
      </c>
      <c r="O24" s="459">
        <v>0</v>
      </c>
      <c r="P24" s="459">
        <v>0</v>
      </c>
      <c r="Q24" s="459">
        <f t="shared" si="2"/>
        <v>0</v>
      </c>
      <c r="R24" s="459">
        <v>0</v>
      </c>
    </row>
    <row r="25" spans="1:18" s="46" customFormat="1" ht="21.75" customHeight="1" x14ac:dyDescent="0.25">
      <c r="A25" s="348">
        <v>15</v>
      </c>
      <c r="B25" s="349" t="s">
        <v>910</v>
      </c>
      <c r="C25" s="350">
        <f>'AT3A_cvrg(Insti)_PY'!H26+'AT3B_cvrg(Insti)_UPY '!H25+'AT3C_cvrg(Insti)_UPY '!H25</f>
        <v>1535</v>
      </c>
      <c r="D25" s="350">
        <f>'AT3A_cvrg(Insti)_PY'!I26+'AT3B_cvrg(Insti)_UPY '!I25+'AT3C_cvrg(Insti)_UPY '!I25</f>
        <v>1</v>
      </c>
      <c r="E25" s="350">
        <v>0</v>
      </c>
      <c r="F25" s="350">
        <f t="shared" si="0"/>
        <v>1536</v>
      </c>
      <c r="G25" s="353">
        <v>1828</v>
      </c>
      <c r="H25" s="354">
        <v>1</v>
      </c>
      <c r="I25" s="354">
        <v>0</v>
      </c>
      <c r="J25" s="353">
        <f t="shared" si="1"/>
        <v>1829</v>
      </c>
      <c r="K25" s="355">
        <v>0</v>
      </c>
      <c r="L25" s="354">
        <v>0</v>
      </c>
      <c r="M25" s="354">
        <v>0</v>
      </c>
      <c r="N25" s="355">
        <v>0</v>
      </c>
      <c r="O25" s="459">
        <v>0</v>
      </c>
      <c r="P25" s="459">
        <v>0</v>
      </c>
      <c r="Q25" s="459">
        <f t="shared" si="2"/>
        <v>0</v>
      </c>
      <c r="R25" s="459">
        <v>0</v>
      </c>
    </row>
    <row r="26" spans="1:18" s="46" customFormat="1" ht="21.75" customHeight="1" x14ac:dyDescent="0.25">
      <c r="A26" s="348">
        <v>16</v>
      </c>
      <c r="B26" s="349" t="s">
        <v>911</v>
      </c>
      <c r="C26" s="350">
        <f>'AT3A_cvrg(Insti)_PY'!H27+'AT3B_cvrg(Insti)_UPY '!H26+'AT3C_cvrg(Insti)_UPY '!H26</f>
        <v>3099</v>
      </c>
      <c r="D26" s="350">
        <f>'AT3A_cvrg(Insti)_PY'!I27+'AT3B_cvrg(Insti)_UPY '!I26+'AT3C_cvrg(Insti)_UPY '!I26</f>
        <v>30</v>
      </c>
      <c r="E26" s="350">
        <v>0</v>
      </c>
      <c r="F26" s="350">
        <f t="shared" si="0"/>
        <v>3129</v>
      </c>
      <c r="G26" s="353">
        <v>3100</v>
      </c>
      <c r="H26" s="354">
        <v>0</v>
      </c>
      <c r="I26" s="354">
        <v>0</v>
      </c>
      <c r="J26" s="353">
        <f t="shared" si="1"/>
        <v>3100</v>
      </c>
      <c r="K26" s="355">
        <v>604</v>
      </c>
      <c r="L26" s="354">
        <v>0</v>
      </c>
      <c r="M26" s="354">
        <v>0</v>
      </c>
      <c r="N26" s="355">
        <v>604</v>
      </c>
      <c r="O26" s="459">
        <v>0</v>
      </c>
      <c r="P26" s="459">
        <v>0</v>
      </c>
      <c r="Q26" s="459">
        <f t="shared" si="2"/>
        <v>0</v>
      </c>
      <c r="R26" s="459">
        <v>0</v>
      </c>
    </row>
    <row r="27" spans="1:18" s="46" customFormat="1" ht="21.75" customHeight="1" x14ac:dyDescent="0.25">
      <c r="A27" s="348">
        <v>17</v>
      </c>
      <c r="B27" s="349" t="s">
        <v>912</v>
      </c>
      <c r="C27" s="350">
        <f>'AT3A_cvrg(Insti)_PY'!H28+'AT3B_cvrg(Insti)_UPY '!H27+'AT3C_cvrg(Insti)_UPY '!H27</f>
        <v>1679</v>
      </c>
      <c r="D27" s="350">
        <f>'AT3A_cvrg(Insti)_PY'!I28+'AT3B_cvrg(Insti)_UPY '!I27+'AT3C_cvrg(Insti)_UPY '!I27</f>
        <v>13</v>
      </c>
      <c r="E27" s="350">
        <v>0</v>
      </c>
      <c r="F27" s="350">
        <f t="shared" si="0"/>
        <v>1692</v>
      </c>
      <c r="G27" s="353">
        <v>1905</v>
      </c>
      <c r="H27" s="354">
        <v>3</v>
      </c>
      <c r="I27" s="354">
        <v>0</v>
      </c>
      <c r="J27" s="353">
        <f t="shared" si="1"/>
        <v>1908</v>
      </c>
      <c r="K27" s="355">
        <v>0</v>
      </c>
      <c r="L27" s="354">
        <v>0</v>
      </c>
      <c r="M27" s="354">
        <v>0</v>
      </c>
      <c r="N27" s="355">
        <v>0</v>
      </c>
      <c r="O27" s="459">
        <v>0</v>
      </c>
      <c r="P27" s="459">
        <v>0</v>
      </c>
      <c r="Q27" s="459">
        <f t="shared" si="2"/>
        <v>0</v>
      </c>
      <c r="R27" s="459">
        <v>0</v>
      </c>
    </row>
    <row r="28" spans="1:18" s="46" customFormat="1" ht="21.75" customHeight="1" x14ac:dyDescent="0.25">
      <c r="A28" s="348">
        <v>18</v>
      </c>
      <c r="B28" s="349" t="s">
        <v>913</v>
      </c>
      <c r="C28" s="350">
        <f>'AT3A_cvrg(Insti)_PY'!H29+'AT3B_cvrg(Insti)_UPY '!H28+'AT3C_cvrg(Insti)_UPY '!H28</f>
        <v>1520</v>
      </c>
      <c r="D28" s="350">
        <f>'AT3A_cvrg(Insti)_PY'!I29+'AT3B_cvrg(Insti)_UPY '!I28+'AT3C_cvrg(Insti)_UPY '!I28</f>
        <v>2</v>
      </c>
      <c r="E28" s="350">
        <v>0</v>
      </c>
      <c r="F28" s="350">
        <f t="shared" si="0"/>
        <v>1522</v>
      </c>
      <c r="G28" s="353">
        <v>1734</v>
      </c>
      <c r="H28" s="354">
        <v>0</v>
      </c>
      <c r="I28" s="354">
        <v>0</v>
      </c>
      <c r="J28" s="353">
        <f t="shared" si="1"/>
        <v>1734</v>
      </c>
      <c r="K28" s="355">
        <v>808</v>
      </c>
      <c r="L28" s="354">
        <v>0</v>
      </c>
      <c r="M28" s="354">
        <v>0</v>
      </c>
      <c r="N28" s="355">
        <v>808</v>
      </c>
      <c r="O28" s="459">
        <v>0</v>
      </c>
      <c r="P28" s="459">
        <v>0</v>
      </c>
      <c r="Q28" s="459">
        <f t="shared" si="2"/>
        <v>0</v>
      </c>
      <c r="R28" s="459">
        <v>0</v>
      </c>
    </row>
    <row r="29" spans="1:18" s="46" customFormat="1" ht="21.75" customHeight="1" x14ac:dyDescent="0.25">
      <c r="A29" s="348">
        <v>19</v>
      </c>
      <c r="B29" s="349" t="s">
        <v>914</v>
      </c>
      <c r="C29" s="350">
        <f>'AT3A_cvrg(Insti)_PY'!H30+'AT3B_cvrg(Insti)_UPY '!H29+'AT3C_cvrg(Insti)_UPY '!H29</f>
        <v>2265</v>
      </c>
      <c r="D29" s="350">
        <f>'AT3A_cvrg(Insti)_PY'!I30+'AT3B_cvrg(Insti)_UPY '!I29+'AT3C_cvrg(Insti)_UPY '!I29</f>
        <v>21</v>
      </c>
      <c r="E29" s="350">
        <v>0</v>
      </c>
      <c r="F29" s="350">
        <f t="shared" si="0"/>
        <v>2286</v>
      </c>
      <c r="G29" s="353">
        <v>2370</v>
      </c>
      <c r="H29" s="354">
        <v>0</v>
      </c>
      <c r="I29" s="354">
        <v>0</v>
      </c>
      <c r="J29" s="353">
        <f t="shared" si="1"/>
        <v>2370</v>
      </c>
      <c r="K29" s="355">
        <v>0</v>
      </c>
      <c r="L29" s="354">
        <v>0</v>
      </c>
      <c r="M29" s="354">
        <v>0</v>
      </c>
      <c r="N29" s="355">
        <v>0</v>
      </c>
      <c r="O29" s="459">
        <v>0</v>
      </c>
      <c r="P29" s="459">
        <v>0</v>
      </c>
      <c r="Q29" s="459">
        <f t="shared" si="2"/>
        <v>0</v>
      </c>
      <c r="R29" s="459">
        <v>0</v>
      </c>
    </row>
    <row r="30" spans="1:18" s="46" customFormat="1" ht="21.75" customHeight="1" x14ac:dyDescent="0.25">
      <c r="A30" s="348">
        <v>20</v>
      </c>
      <c r="B30" s="349" t="s">
        <v>915</v>
      </c>
      <c r="C30" s="350">
        <f>'AT3A_cvrg(Insti)_PY'!H31+'AT3B_cvrg(Insti)_UPY '!H30+'AT3C_cvrg(Insti)_UPY '!H30</f>
        <v>1010</v>
      </c>
      <c r="D30" s="350">
        <f>'AT3A_cvrg(Insti)_PY'!I31+'AT3B_cvrg(Insti)_UPY '!I30+'AT3C_cvrg(Insti)_UPY '!I30</f>
        <v>3</v>
      </c>
      <c r="E30" s="350">
        <v>0</v>
      </c>
      <c r="F30" s="350">
        <f t="shared" si="0"/>
        <v>1013</v>
      </c>
      <c r="G30" s="353">
        <v>1187</v>
      </c>
      <c r="H30" s="354">
        <v>0</v>
      </c>
      <c r="I30" s="354">
        <v>0</v>
      </c>
      <c r="J30" s="353">
        <f t="shared" si="1"/>
        <v>1187</v>
      </c>
      <c r="K30" s="355">
        <v>0</v>
      </c>
      <c r="L30" s="354">
        <v>0</v>
      </c>
      <c r="M30" s="354">
        <v>0</v>
      </c>
      <c r="N30" s="355">
        <v>0</v>
      </c>
      <c r="O30" s="459">
        <v>0</v>
      </c>
      <c r="P30" s="459">
        <v>0</v>
      </c>
      <c r="Q30" s="459">
        <f t="shared" si="2"/>
        <v>0</v>
      </c>
      <c r="R30" s="459">
        <v>0</v>
      </c>
    </row>
    <row r="31" spans="1:18" s="46" customFormat="1" ht="21.75" customHeight="1" x14ac:dyDescent="0.25">
      <c r="A31" s="348">
        <v>21</v>
      </c>
      <c r="B31" s="349" t="s">
        <v>916</v>
      </c>
      <c r="C31" s="350">
        <f>'AT3A_cvrg(Insti)_PY'!H32+'AT3B_cvrg(Insti)_UPY '!H31+'AT3C_cvrg(Insti)_UPY '!H31</f>
        <v>1229</v>
      </c>
      <c r="D31" s="350">
        <f>'AT3A_cvrg(Insti)_PY'!I32+'AT3B_cvrg(Insti)_UPY '!I31+'AT3C_cvrg(Insti)_UPY '!I31</f>
        <v>7</v>
      </c>
      <c r="E31" s="350">
        <v>0</v>
      </c>
      <c r="F31" s="350">
        <f t="shared" si="0"/>
        <v>1236</v>
      </c>
      <c r="G31" s="356">
        <v>1363</v>
      </c>
      <c r="H31" s="357">
        <v>0</v>
      </c>
      <c r="I31" s="357">
        <v>0</v>
      </c>
      <c r="J31" s="353">
        <f t="shared" si="1"/>
        <v>1363</v>
      </c>
      <c r="K31" s="355">
        <v>0</v>
      </c>
      <c r="L31" s="357">
        <v>0</v>
      </c>
      <c r="M31" s="357">
        <v>0</v>
      </c>
      <c r="N31" s="355">
        <v>0</v>
      </c>
      <c r="O31" s="459">
        <v>0</v>
      </c>
      <c r="P31" s="459">
        <v>0</v>
      </c>
      <c r="Q31" s="459">
        <f t="shared" si="2"/>
        <v>0</v>
      </c>
      <c r="R31" s="459">
        <v>0</v>
      </c>
    </row>
    <row r="32" spans="1:18" s="46" customFormat="1" ht="21.75" customHeight="1" x14ac:dyDescent="0.25">
      <c r="A32" s="348">
        <v>22</v>
      </c>
      <c r="B32" s="349" t="s">
        <v>917</v>
      </c>
      <c r="C32" s="350">
        <f>'AT3A_cvrg(Insti)_PY'!H33+'AT3B_cvrg(Insti)_UPY '!H32+'AT3C_cvrg(Insti)_UPY '!H32</f>
        <v>954</v>
      </c>
      <c r="D32" s="350">
        <f>'AT3A_cvrg(Insti)_PY'!I33+'AT3B_cvrg(Insti)_UPY '!I32+'AT3C_cvrg(Insti)_UPY '!I32</f>
        <v>11</v>
      </c>
      <c r="E32" s="350">
        <v>0</v>
      </c>
      <c r="F32" s="350">
        <f t="shared" si="0"/>
        <v>965</v>
      </c>
      <c r="G32" s="356">
        <v>996</v>
      </c>
      <c r="H32" s="357">
        <v>0</v>
      </c>
      <c r="I32" s="357">
        <v>0</v>
      </c>
      <c r="J32" s="353">
        <f t="shared" si="1"/>
        <v>996</v>
      </c>
      <c r="K32" s="355">
        <v>0</v>
      </c>
      <c r="L32" s="357">
        <v>0</v>
      </c>
      <c r="M32" s="357">
        <v>0</v>
      </c>
      <c r="N32" s="355">
        <v>0</v>
      </c>
      <c r="O32" s="459">
        <v>0</v>
      </c>
      <c r="P32" s="459">
        <v>0</v>
      </c>
      <c r="Q32" s="459">
        <f t="shared" si="2"/>
        <v>0</v>
      </c>
      <c r="R32" s="459">
        <v>0</v>
      </c>
    </row>
    <row r="33" spans="1:24" s="46" customFormat="1" ht="21.75" customHeight="1" x14ac:dyDescent="0.25">
      <c r="A33" s="348">
        <v>23</v>
      </c>
      <c r="B33" s="349" t="s">
        <v>918</v>
      </c>
      <c r="C33" s="350">
        <f>'AT3A_cvrg(Insti)_PY'!H34+'AT3B_cvrg(Insti)_UPY '!H33+'AT3C_cvrg(Insti)_UPY '!H33</f>
        <v>1469</v>
      </c>
      <c r="D33" s="350">
        <f>'AT3A_cvrg(Insti)_PY'!I34+'AT3B_cvrg(Insti)_UPY '!I33+'AT3C_cvrg(Insti)_UPY '!I33</f>
        <v>4</v>
      </c>
      <c r="E33" s="350">
        <v>0</v>
      </c>
      <c r="F33" s="350">
        <f t="shared" si="0"/>
        <v>1473</v>
      </c>
      <c r="G33" s="356">
        <v>1722</v>
      </c>
      <c r="H33" s="357">
        <v>0</v>
      </c>
      <c r="I33" s="357">
        <v>0</v>
      </c>
      <c r="J33" s="353">
        <f t="shared" si="1"/>
        <v>1722</v>
      </c>
      <c r="K33" s="355">
        <v>0</v>
      </c>
      <c r="L33" s="357">
        <v>0</v>
      </c>
      <c r="M33" s="357">
        <v>0</v>
      </c>
      <c r="N33" s="355">
        <v>0</v>
      </c>
      <c r="O33" s="459">
        <v>0</v>
      </c>
      <c r="P33" s="459">
        <v>0</v>
      </c>
      <c r="Q33" s="459">
        <f t="shared" si="2"/>
        <v>0</v>
      </c>
      <c r="R33" s="459">
        <v>0</v>
      </c>
    </row>
    <row r="34" spans="1:24" s="46" customFormat="1" ht="21.75" customHeight="1" x14ac:dyDescent="0.25">
      <c r="A34" s="348">
        <v>24</v>
      </c>
      <c r="B34" s="350" t="s">
        <v>919</v>
      </c>
      <c r="C34" s="350">
        <f>'AT3A_cvrg(Insti)_PY'!H35+'AT3B_cvrg(Insti)_UPY '!H34+'AT3C_cvrg(Insti)_UPY '!H34</f>
        <v>1938</v>
      </c>
      <c r="D34" s="350">
        <f>'AT3A_cvrg(Insti)_PY'!I35+'AT3B_cvrg(Insti)_UPY '!I34+'AT3C_cvrg(Insti)_UPY '!I34</f>
        <v>5</v>
      </c>
      <c r="E34" s="350">
        <v>0</v>
      </c>
      <c r="F34" s="350">
        <f t="shared" si="0"/>
        <v>1943</v>
      </c>
      <c r="G34" s="356">
        <v>2004</v>
      </c>
      <c r="H34" s="357">
        <v>3</v>
      </c>
      <c r="I34" s="357">
        <v>0</v>
      </c>
      <c r="J34" s="353">
        <f t="shared" si="1"/>
        <v>2007</v>
      </c>
      <c r="K34" s="355">
        <v>0</v>
      </c>
      <c r="L34" s="357">
        <v>0</v>
      </c>
      <c r="M34" s="357">
        <v>0</v>
      </c>
      <c r="N34" s="355">
        <v>0</v>
      </c>
      <c r="O34" s="459">
        <v>0</v>
      </c>
      <c r="P34" s="459">
        <v>0</v>
      </c>
      <c r="Q34" s="459">
        <f t="shared" si="2"/>
        <v>0</v>
      </c>
      <c r="R34" s="459">
        <v>0</v>
      </c>
    </row>
    <row r="35" spans="1:24" s="359" customFormat="1" ht="21.75" customHeight="1" x14ac:dyDescent="0.25">
      <c r="A35" s="1159" t="s">
        <v>18</v>
      </c>
      <c r="B35" s="1159"/>
      <c r="C35" s="358">
        <f t="shared" ref="C35:M35" si="3">SUM(C11:C34)</f>
        <v>34496</v>
      </c>
      <c r="D35" s="358">
        <f t="shared" si="3"/>
        <v>954</v>
      </c>
      <c r="E35" s="358">
        <f t="shared" si="3"/>
        <v>0</v>
      </c>
      <c r="F35" s="358">
        <f t="shared" si="3"/>
        <v>35450</v>
      </c>
      <c r="G35" s="358">
        <f t="shared" si="3"/>
        <v>38424</v>
      </c>
      <c r="H35" s="358">
        <f t="shared" si="3"/>
        <v>577</v>
      </c>
      <c r="I35" s="358">
        <f t="shared" si="3"/>
        <v>0</v>
      </c>
      <c r="J35" s="358">
        <f t="shared" si="3"/>
        <v>39001</v>
      </c>
      <c r="K35" s="358">
        <f t="shared" si="3"/>
        <v>2143</v>
      </c>
      <c r="L35" s="358">
        <f t="shared" si="3"/>
        <v>0</v>
      </c>
      <c r="M35" s="358">
        <f t="shared" si="3"/>
        <v>0</v>
      </c>
      <c r="N35" s="358">
        <f>SUM(N11:N34)</f>
        <v>2143</v>
      </c>
      <c r="O35" s="358">
        <f>SUM(O11:O34)</f>
        <v>0</v>
      </c>
      <c r="P35" s="358">
        <f>SUM(P11:P34)</f>
        <v>0</v>
      </c>
      <c r="Q35" s="358">
        <f>SUM(Q11:Q34)</f>
        <v>0</v>
      </c>
      <c r="R35" s="358">
        <f>SUM(R11:R34)</f>
        <v>0</v>
      </c>
    </row>
    <row r="36" spans="1:24" ht="21.75" customHeight="1" x14ac:dyDescent="0.25"/>
    <row r="37" spans="1:24" ht="21.75" customHeight="1" x14ac:dyDescent="0.25">
      <c r="A37" s="359" t="s">
        <v>1131</v>
      </c>
    </row>
    <row r="39" spans="1:24" ht="18" x14ac:dyDescent="0.25">
      <c r="A39" s="681" t="s">
        <v>1132</v>
      </c>
      <c r="B39" s="591"/>
      <c r="C39" s="610"/>
      <c r="D39" s="592"/>
      <c r="E39" s="593"/>
      <c r="F39" s="593"/>
      <c r="G39" s="593"/>
      <c r="H39" s="593"/>
      <c r="I39" s="593"/>
      <c r="J39" s="593"/>
      <c r="K39" s="593"/>
      <c r="L39" s="593"/>
      <c r="M39" s="593"/>
      <c r="N39" s="593"/>
    </row>
    <row r="40" spans="1:24" ht="18" x14ac:dyDescent="0.25">
      <c r="A40" s="590"/>
      <c r="B40" s="591"/>
      <c r="C40" s="610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682"/>
      <c r="P40" s="682" t="s">
        <v>12</v>
      </c>
    </row>
    <row r="41" spans="1:24" ht="18" x14ac:dyDescent="0.25">
      <c r="A41" s="590"/>
      <c r="B41" s="591"/>
      <c r="C41" s="610"/>
      <c r="D41" s="593"/>
      <c r="E41" s="593"/>
      <c r="O41" s="680" t="s">
        <v>13</v>
      </c>
      <c r="P41" s="593"/>
      <c r="Q41" s="593"/>
      <c r="R41" s="593"/>
      <c r="S41" s="593"/>
      <c r="T41" s="593"/>
      <c r="U41" s="593"/>
      <c r="V41" s="682"/>
      <c r="W41" s="682"/>
      <c r="X41" s="593"/>
    </row>
    <row r="42" spans="1:24" x14ac:dyDescent="0.25">
      <c r="A42" s="574"/>
      <c r="B42" s="574"/>
      <c r="C42" s="574"/>
      <c r="D42" s="574"/>
      <c r="E42" s="580"/>
      <c r="O42" s="680" t="s">
        <v>87</v>
      </c>
      <c r="P42" s="680"/>
      <c r="Q42" s="680"/>
      <c r="R42" s="680"/>
      <c r="S42" s="680"/>
      <c r="T42" s="680"/>
      <c r="U42" s="680"/>
      <c r="V42" s="680"/>
      <c r="W42" s="680"/>
      <c r="X42" s="680"/>
    </row>
    <row r="43" spans="1:24" x14ac:dyDescent="0.25">
      <c r="A43" s="574"/>
      <c r="B43" s="574"/>
      <c r="C43" s="574"/>
      <c r="D43" s="574"/>
      <c r="E43" s="680"/>
      <c r="O43" s="580" t="s">
        <v>703</v>
      </c>
      <c r="P43" s="680"/>
      <c r="Q43" s="680"/>
      <c r="R43" s="680"/>
      <c r="S43" s="680"/>
      <c r="T43" s="680"/>
      <c r="U43" s="680"/>
      <c r="V43" s="680"/>
      <c r="W43" s="680"/>
      <c r="X43" s="680"/>
    </row>
    <row r="44" spans="1:24" x14ac:dyDescent="0.25">
      <c r="A44" s="580"/>
      <c r="B44" s="580"/>
      <c r="C44" s="574"/>
      <c r="D44" s="574"/>
      <c r="E44" s="574"/>
      <c r="P44" s="580"/>
      <c r="Q44" s="580"/>
      <c r="R44" s="580"/>
      <c r="S44" s="580"/>
      <c r="T44" s="580"/>
      <c r="U44" s="580"/>
      <c r="V44" s="580"/>
      <c r="W44" s="580"/>
      <c r="X44" s="580"/>
    </row>
    <row r="46" spans="1:24" x14ac:dyDescent="0.25">
      <c r="B46" s="359" t="s">
        <v>1127</v>
      </c>
    </row>
    <row r="48" spans="1:24" x14ac:dyDescent="0.25">
      <c r="B48" s="359" t="s">
        <v>1128</v>
      </c>
    </row>
    <row r="50" spans="13:21" x14ac:dyDescent="0.25">
      <c r="M50" s="593"/>
      <c r="N50" s="593"/>
      <c r="O50" s="593"/>
      <c r="P50" s="593"/>
      <c r="Q50" s="593"/>
      <c r="R50" s="593"/>
      <c r="S50" s="682"/>
      <c r="T50" s="682" t="s">
        <v>12</v>
      </c>
      <c r="U50" s="593"/>
    </row>
    <row r="51" spans="13:21" x14ac:dyDescent="0.25">
      <c r="M51" s="1131"/>
      <c r="N51" s="1131"/>
      <c r="O51" s="1131"/>
      <c r="P51" s="1131"/>
      <c r="Q51" s="1131"/>
      <c r="R51" s="1131"/>
      <c r="S51" s="1131"/>
      <c r="T51" s="1131"/>
      <c r="U51" s="1131"/>
    </row>
    <row r="52" spans="13:21" x14ac:dyDescent="0.25">
      <c r="M52" s="680"/>
      <c r="N52" s="680"/>
      <c r="O52" s="680"/>
      <c r="P52" s="680"/>
      <c r="Q52" s="680"/>
      <c r="R52" s="680"/>
      <c r="S52" s="680"/>
      <c r="T52" s="680"/>
      <c r="U52" s="680"/>
    </row>
    <row r="53" spans="13:21" x14ac:dyDescent="0.25">
      <c r="M53" s="580"/>
      <c r="N53" s="580"/>
      <c r="O53" s="580"/>
      <c r="P53" s="580"/>
      <c r="Q53" s="580"/>
      <c r="R53" s="580"/>
      <c r="S53" s="580"/>
      <c r="T53" s="580"/>
      <c r="U53" s="580"/>
    </row>
  </sheetData>
  <mergeCells count="12">
    <mergeCell ref="M51:U51"/>
    <mergeCell ref="A35:B35"/>
    <mergeCell ref="G1:M1"/>
    <mergeCell ref="E2:O2"/>
    <mergeCell ref="O8:R8"/>
    <mergeCell ref="C8:F8"/>
    <mergeCell ref="K8:N8"/>
    <mergeCell ref="G8:J8"/>
    <mergeCell ref="B4:T4"/>
    <mergeCell ref="A6:B6"/>
    <mergeCell ref="A8:A9"/>
    <mergeCell ref="B8:B9"/>
  </mergeCells>
  <phoneticPr fontId="0" type="noConversion"/>
  <printOptions horizontalCentered="1"/>
  <pageMargins left="0.27" right="0.18" top="0.23622047244094491" bottom="0" header="0.25" footer="0.19"/>
  <pageSetup paperSize="9" scale="6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1"/>
  <sheetViews>
    <sheetView topLeftCell="A13" zoomScale="70" zoomScaleNormal="70" zoomScaleSheetLayoutView="90" workbookViewId="0">
      <selection activeCell="C29" sqref="C29"/>
    </sheetView>
  </sheetViews>
  <sheetFormatPr defaultColWidth="9.140625" defaultRowHeight="15" x14ac:dyDescent="0.25"/>
  <cols>
    <col min="1" max="1" width="7.28515625" style="71" customWidth="1"/>
    <col min="2" max="2" width="21.5703125" style="71" bestFit="1" customWidth="1"/>
    <col min="3" max="3" width="15.42578125" style="71" customWidth="1"/>
    <col min="4" max="4" width="14.85546875" style="71" customWidth="1"/>
    <col min="5" max="5" width="11.85546875" style="71" customWidth="1"/>
    <col min="6" max="6" width="9.85546875" style="71" customWidth="1"/>
    <col min="7" max="7" width="12.7109375" style="71" customWidth="1"/>
    <col min="8" max="9" width="11" style="71" customWidth="1"/>
    <col min="10" max="10" width="14.140625" style="71" customWidth="1"/>
    <col min="11" max="11" width="12.28515625" style="71" customWidth="1"/>
    <col min="12" max="12" width="13.140625" style="71" customWidth="1"/>
    <col min="13" max="13" width="9.7109375" style="71" customWidth="1"/>
    <col min="14" max="14" width="10.5703125" style="71" customWidth="1"/>
    <col min="15" max="15" width="12.7109375" style="71" customWidth="1"/>
    <col min="16" max="16" width="13.28515625" style="71" customWidth="1"/>
    <col min="17" max="17" width="11.28515625" style="71" customWidth="1"/>
    <col min="18" max="18" width="9.28515625" style="71" customWidth="1"/>
    <col min="19" max="19" width="12.5703125" style="71" customWidth="1"/>
    <col min="20" max="20" width="12.28515625" style="71" customWidth="1"/>
    <col min="21" max="16384" width="9.140625" style="71"/>
  </cols>
  <sheetData>
    <row r="1" spans="1:20" s="15" customFormat="1" ht="15.75" x14ac:dyDescent="0.25">
      <c r="C1" s="42"/>
      <c r="D1" s="42"/>
      <c r="E1" s="42"/>
      <c r="F1" s="42"/>
      <c r="G1" s="42"/>
      <c r="H1" s="42"/>
      <c r="I1" s="97" t="s">
        <v>0</v>
      </c>
      <c r="J1" s="42"/>
      <c r="Q1" s="978" t="s">
        <v>533</v>
      </c>
      <c r="R1" s="978"/>
    </row>
    <row r="2" spans="1:20" s="15" customFormat="1" ht="20.25" x14ac:dyDescent="0.3">
      <c r="G2" s="851" t="s">
        <v>740</v>
      </c>
      <c r="H2" s="851"/>
      <c r="I2" s="851"/>
      <c r="J2" s="851"/>
      <c r="K2" s="851"/>
      <c r="L2" s="851"/>
      <c r="M2" s="851"/>
      <c r="N2" s="41"/>
      <c r="O2" s="41"/>
      <c r="P2" s="41"/>
      <c r="Q2" s="41"/>
    </row>
    <row r="3" spans="1:20" s="15" customFormat="1" ht="20.25" x14ac:dyDescent="0.3">
      <c r="G3" s="111"/>
      <c r="H3" s="111"/>
      <c r="I3" s="111"/>
      <c r="J3" s="111"/>
      <c r="K3" s="111"/>
      <c r="L3" s="111"/>
      <c r="M3" s="111"/>
      <c r="N3" s="41"/>
      <c r="O3" s="41"/>
      <c r="P3" s="41"/>
      <c r="Q3" s="41"/>
    </row>
    <row r="4" spans="1:20" ht="18" x14ac:dyDescent="0.25">
      <c r="B4" s="1169" t="s">
        <v>754</v>
      </c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</row>
    <row r="5" spans="1:20" ht="15.75" x14ac:dyDescent="0.25">
      <c r="C5" s="72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21" x14ac:dyDescent="0.35">
      <c r="A6" s="277" t="s">
        <v>923</v>
      </c>
      <c r="B6" s="278"/>
    </row>
    <row r="7" spans="1:20" x14ac:dyDescent="0.25">
      <c r="B7" s="74"/>
      <c r="Q7" s="102" t="s">
        <v>134</v>
      </c>
    </row>
    <row r="8" spans="1:20" s="75" customFormat="1" ht="32.450000000000003" customHeight="1" x14ac:dyDescent="0.25">
      <c r="A8" s="834" t="s">
        <v>2</v>
      </c>
      <c r="B8" s="1166" t="s">
        <v>3</v>
      </c>
      <c r="C8" s="1163" t="s">
        <v>447</v>
      </c>
      <c r="D8" s="1163"/>
      <c r="E8" s="1163"/>
      <c r="F8" s="1163"/>
      <c r="G8" s="1163" t="s">
        <v>448</v>
      </c>
      <c r="H8" s="1163"/>
      <c r="I8" s="1163"/>
      <c r="J8" s="1163"/>
      <c r="K8" s="1163" t="s">
        <v>449</v>
      </c>
      <c r="L8" s="1163"/>
      <c r="M8" s="1163"/>
      <c r="N8" s="1163"/>
      <c r="O8" s="1163" t="s">
        <v>450</v>
      </c>
      <c r="P8" s="1163"/>
      <c r="Q8" s="1163"/>
      <c r="R8" s="1166"/>
      <c r="S8" s="1170" t="s">
        <v>157</v>
      </c>
    </row>
    <row r="9" spans="1:20" s="76" customFormat="1" ht="75" customHeight="1" x14ac:dyDescent="0.25">
      <c r="A9" s="834"/>
      <c r="B9" s="1167"/>
      <c r="C9" s="79" t="s">
        <v>154</v>
      </c>
      <c r="D9" s="115" t="s">
        <v>156</v>
      </c>
      <c r="E9" s="79" t="s">
        <v>133</v>
      </c>
      <c r="F9" s="115" t="s">
        <v>155</v>
      </c>
      <c r="G9" s="79" t="s">
        <v>235</v>
      </c>
      <c r="H9" s="115" t="s">
        <v>156</v>
      </c>
      <c r="I9" s="79" t="s">
        <v>133</v>
      </c>
      <c r="J9" s="115" t="s">
        <v>155</v>
      </c>
      <c r="K9" s="79" t="s">
        <v>235</v>
      </c>
      <c r="L9" s="115" t="s">
        <v>156</v>
      </c>
      <c r="M9" s="79" t="s">
        <v>133</v>
      </c>
      <c r="N9" s="115" t="s">
        <v>155</v>
      </c>
      <c r="O9" s="79" t="s">
        <v>235</v>
      </c>
      <c r="P9" s="115" t="s">
        <v>156</v>
      </c>
      <c r="Q9" s="79" t="s">
        <v>133</v>
      </c>
      <c r="R9" s="116" t="s">
        <v>155</v>
      </c>
      <c r="S9" s="1170"/>
    </row>
    <row r="10" spans="1:20" s="76" customFormat="1" ht="16.149999999999999" customHeight="1" x14ac:dyDescent="0.25">
      <c r="A10" s="5">
        <v>1</v>
      </c>
      <c r="B10" s="78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107">
        <v>18</v>
      </c>
      <c r="S10" s="114">
        <v>19</v>
      </c>
    </row>
    <row r="11" spans="1:20" s="46" customFormat="1" ht="15.75" x14ac:dyDescent="0.25">
      <c r="A11" s="348">
        <v>1</v>
      </c>
      <c r="B11" s="349" t="s">
        <v>896</v>
      </c>
      <c r="C11" s="1168" t="s">
        <v>945</v>
      </c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8"/>
      <c r="S11" s="1168"/>
    </row>
    <row r="12" spans="1:20" s="46" customFormat="1" ht="15.75" x14ac:dyDescent="0.25">
      <c r="A12" s="348">
        <v>2</v>
      </c>
      <c r="B12" s="349" t="s">
        <v>897</v>
      </c>
      <c r="C12" s="1168"/>
      <c r="D12" s="1168"/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1168"/>
      <c r="Q12" s="1168"/>
      <c r="R12" s="1168"/>
      <c r="S12" s="1168"/>
    </row>
    <row r="13" spans="1:20" s="46" customFormat="1" ht="15.75" x14ac:dyDescent="0.25">
      <c r="A13" s="348">
        <v>3</v>
      </c>
      <c r="B13" s="349" t="s">
        <v>898</v>
      </c>
      <c r="C13" s="1168"/>
      <c r="D13" s="1168"/>
      <c r="E13" s="1168"/>
      <c r="F13" s="1168"/>
      <c r="G13" s="1168"/>
      <c r="H13" s="1168"/>
      <c r="I13" s="1168"/>
      <c r="J13" s="1168"/>
      <c r="K13" s="1168"/>
      <c r="L13" s="1168"/>
      <c r="M13" s="1168"/>
      <c r="N13" s="1168"/>
      <c r="O13" s="1168"/>
      <c r="P13" s="1168"/>
      <c r="Q13" s="1168"/>
      <c r="R13" s="1168"/>
      <c r="S13" s="1168"/>
    </row>
    <row r="14" spans="1:20" s="46" customFormat="1" ht="15.75" x14ac:dyDescent="0.25">
      <c r="A14" s="348">
        <v>4</v>
      </c>
      <c r="B14" s="349" t="s">
        <v>899</v>
      </c>
      <c r="C14" s="1168"/>
      <c r="D14" s="1168"/>
      <c r="E14" s="1168"/>
      <c r="F14" s="1168"/>
      <c r="G14" s="1168"/>
      <c r="H14" s="1168"/>
      <c r="I14" s="1168"/>
      <c r="J14" s="1168"/>
      <c r="K14" s="1168"/>
      <c r="L14" s="1168"/>
      <c r="M14" s="1168"/>
      <c r="N14" s="1168"/>
      <c r="O14" s="1168"/>
      <c r="P14" s="1168"/>
      <c r="Q14" s="1168"/>
      <c r="R14" s="1168"/>
      <c r="S14" s="1168"/>
    </row>
    <row r="15" spans="1:20" s="46" customFormat="1" ht="15.75" x14ac:dyDescent="0.25">
      <c r="A15" s="348">
        <v>5</v>
      </c>
      <c r="B15" s="349" t="s">
        <v>900</v>
      </c>
      <c r="C15" s="1168"/>
      <c r="D15" s="1168"/>
      <c r="E15" s="1168"/>
      <c r="F15" s="1168"/>
      <c r="G15" s="1168"/>
      <c r="H15" s="1168"/>
      <c r="I15" s="1168"/>
      <c r="J15" s="1168"/>
      <c r="K15" s="1168"/>
      <c r="L15" s="1168"/>
      <c r="M15" s="1168"/>
      <c r="N15" s="1168"/>
      <c r="O15" s="1168"/>
      <c r="P15" s="1168"/>
      <c r="Q15" s="1168"/>
      <c r="R15" s="1168"/>
      <c r="S15" s="1168"/>
    </row>
    <row r="16" spans="1:20" s="46" customFormat="1" ht="15.75" x14ac:dyDescent="0.25">
      <c r="A16" s="348">
        <v>6</v>
      </c>
      <c r="B16" s="349" t="s">
        <v>901</v>
      </c>
      <c r="C16" s="1168"/>
      <c r="D16" s="1168"/>
      <c r="E16" s="1168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</row>
    <row r="17" spans="1:19" s="46" customFormat="1" ht="15.75" x14ac:dyDescent="0.25">
      <c r="A17" s="348">
        <v>7</v>
      </c>
      <c r="B17" s="349" t="s">
        <v>902</v>
      </c>
      <c r="C17" s="1168"/>
      <c r="D17" s="1168"/>
      <c r="E17" s="1168"/>
      <c r="F17" s="1168"/>
      <c r="G17" s="1168"/>
      <c r="H17" s="1168"/>
      <c r="I17" s="1168"/>
      <c r="J17" s="1168"/>
      <c r="K17" s="1168"/>
      <c r="L17" s="1168"/>
      <c r="M17" s="1168"/>
      <c r="N17" s="1168"/>
      <c r="O17" s="1168"/>
      <c r="P17" s="1168"/>
      <c r="Q17" s="1168"/>
      <c r="R17" s="1168"/>
      <c r="S17" s="1168"/>
    </row>
    <row r="18" spans="1:19" s="46" customFormat="1" ht="15.75" x14ac:dyDescent="0.25">
      <c r="A18" s="348">
        <v>8</v>
      </c>
      <c r="B18" s="349" t="s">
        <v>903</v>
      </c>
      <c r="C18" s="1168"/>
      <c r="D18" s="1168"/>
      <c r="E18" s="1168"/>
      <c r="F18" s="1168"/>
      <c r="G18" s="1168"/>
      <c r="H18" s="1168"/>
      <c r="I18" s="1168"/>
      <c r="J18" s="1168"/>
      <c r="K18" s="1168"/>
      <c r="L18" s="1168"/>
      <c r="M18" s="1168"/>
      <c r="N18" s="1168"/>
      <c r="O18" s="1168"/>
      <c r="P18" s="1168"/>
      <c r="Q18" s="1168"/>
      <c r="R18" s="1168"/>
      <c r="S18" s="1168"/>
    </row>
    <row r="19" spans="1:19" s="46" customFormat="1" ht="15.75" x14ac:dyDescent="0.25">
      <c r="A19" s="348">
        <v>9</v>
      </c>
      <c r="B19" s="349" t="s">
        <v>904</v>
      </c>
      <c r="C19" s="1168"/>
      <c r="D19" s="1168"/>
      <c r="E19" s="1168"/>
      <c r="F19" s="1168"/>
      <c r="G19" s="1168"/>
      <c r="H19" s="1168"/>
      <c r="I19" s="1168"/>
      <c r="J19" s="1168"/>
      <c r="K19" s="1168"/>
      <c r="L19" s="1168"/>
      <c r="M19" s="1168"/>
      <c r="N19" s="1168"/>
      <c r="O19" s="1168"/>
      <c r="P19" s="1168"/>
      <c r="Q19" s="1168"/>
      <c r="R19" s="1168"/>
      <c r="S19" s="1168"/>
    </row>
    <row r="20" spans="1:19" s="46" customFormat="1" ht="15.75" x14ac:dyDescent="0.25">
      <c r="A20" s="348">
        <v>10</v>
      </c>
      <c r="B20" s="349" t="s">
        <v>905</v>
      </c>
      <c r="C20" s="1168"/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  <c r="N20" s="1168"/>
      <c r="O20" s="1168"/>
      <c r="P20" s="1168"/>
      <c r="Q20" s="1168"/>
      <c r="R20" s="1168"/>
      <c r="S20" s="1168"/>
    </row>
    <row r="21" spans="1:19" s="46" customFormat="1" ht="15.75" x14ac:dyDescent="0.25">
      <c r="A21" s="348">
        <v>11</v>
      </c>
      <c r="B21" s="349" t="s">
        <v>906</v>
      </c>
      <c r="C21" s="1168"/>
      <c r="D21" s="1168"/>
      <c r="E21" s="1168"/>
      <c r="F21" s="1168"/>
      <c r="G21" s="1168"/>
      <c r="H21" s="1168"/>
      <c r="I21" s="1168"/>
      <c r="J21" s="1168"/>
      <c r="K21" s="1168"/>
      <c r="L21" s="1168"/>
      <c r="M21" s="1168"/>
      <c r="N21" s="1168"/>
      <c r="O21" s="1168"/>
      <c r="P21" s="1168"/>
      <c r="Q21" s="1168"/>
      <c r="R21" s="1168"/>
      <c r="S21" s="1168"/>
    </row>
    <row r="22" spans="1:19" s="46" customFormat="1" ht="15.75" x14ac:dyDescent="0.25">
      <c r="A22" s="348">
        <v>12</v>
      </c>
      <c r="B22" s="349" t="s">
        <v>907</v>
      </c>
      <c r="C22" s="1168"/>
      <c r="D22" s="1168"/>
      <c r="E22" s="1168"/>
      <c r="F22" s="1168"/>
      <c r="G22" s="1168"/>
      <c r="H22" s="1168"/>
      <c r="I22" s="1168"/>
      <c r="J22" s="1168"/>
      <c r="K22" s="1168"/>
      <c r="L22" s="1168"/>
      <c r="M22" s="1168"/>
      <c r="N22" s="1168"/>
      <c r="O22" s="1168"/>
      <c r="P22" s="1168"/>
      <c r="Q22" s="1168"/>
      <c r="R22" s="1168"/>
      <c r="S22" s="1168"/>
    </row>
    <row r="23" spans="1:19" s="46" customFormat="1" ht="15.75" x14ac:dyDescent="0.25">
      <c r="A23" s="348">
        <v>13</v>
      </c>
      <c r="B23" s="349" t="s">
        <v>908</v>
      </c>
      <c r="C23" s="1168"/>
      <c r="D23" s="1168"/>
      <c r="E23" s="1168"/>
      <c r="F23" s="1168"/>
      <c r="G23" s="1168"/>
      <c r="H23" s="1168"/>
      <c r="I23" s="1168"/>
      <c r="J23" s="1168"/>
      <c r="K23" s="1168"/>
      <c r="L23" s="1168"/>
      <c r="M23" s="1168"/>
      <c r="N23" s="1168"/>
      <c r="O23" s="1168"/>
      <c r="P23" s="1168"/>
      <c r="Q23" s="1168"/>
      <c r="R23" s="1168"/>
      <c r="S23" s="1168"/>
    </row>
    <row r="24" spans="1:19" s="46" customFormat="1" ht="15.75" x14ac:dyDescent="0.25">
      <c r="A24" s="348">
        <v>14</v>
      </c>
      <c r="B24" s="349" t="s">
        <v>909</v>
      </c>
      <c r="C24" s="1168"/>
      <c r="D24" s="1168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8"/>
    </row>
    <row r="25" spans="1:19" s="46" customFormat="1" ht="15.75" x14ac:dyDescent="0.25">
      <c r="A25" s="348">
        <v>15</v>
      </c>
      <c r="B25" s="349" t="s">
        <v>910</v>
      </c>
      <c r="C25" s="1168"/>
      <c r="D25" s="1168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  <c r="O25" s="1168"/>
      <c r="P25" s="1168"/>
      <c r="Q25" s="1168"/>
      <c r="R25" s="1168"/>
      <c r="S25" s="1168"/>
    </row>
    <row r="26" spans="1:19" s="46" customFormat="1" ht="15.75" x14ac:dyDescent="0.25">
      <c r="A26" s="348">
        <v>16</v>
      </c>
      <c r="B26" s="349" t="s">
        <v>911</v>
      </c>
      <c r="C26" s="1168"/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1168"/>
      <c r="Q26" s="1168"/>
      <c r="R26" s="1168"/>
      <c r="S26" s="1168"/>
    </row>
    <row r="27" spans="1:19" s="46" customFormat="1" ht="16.5" customHeight="1" x14ac:dyDescent="0.25">
      <c r="A27" s="348">
        <v>17</v>
      </c>
      <c r="B27" s="349" t="s">
        <v>912</v>
      </c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</row>
    <row r="28" spans="1:19" s="46" customFormat="1" ht="15.75" x14ac:dyDescent="0.25">
      <c r="A28" s="348">
        <v>18</v>
      </c>
      <c r="B28" s="349" t="s">
        <v>913</v>
      </c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</row>
    <row r="29" spans="1:19" s="46" customFormat="1" ht="15.75" x14ac:dyDescent="0.25">
      <c r="A29" s="348">
        <v>19</v>
      </c>
      <c r="B29" s="349" t="s">
        <v>914</v>
      </c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</row>
    <row r="30" spans="1:19" s="46" customFormat="1" ht="15.75" x14ac:dyDescent="0.25">
      <c r="A30" s="348">
        <v>20</v>
      </c>
      <c r="B30" s="349" t="s">
        <v>915</v>
      </c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</row>
    <row r="31" spans="1:19" s="46" customFormat="1" ht="15.75" x14ac:dyDescent="0.25">
      <c r="A31" s="348">
        <v>21</v>
      </c>
      <c r="B31" s="349" t="s">
        <v>916</v>
      </c>
      <c r="C31" s="1168"/>
      <c r="D31" s="1168"/>
      <c r="E31" s="1168"/>
      <c r="F31" s="1168"/>
      <c r="G31" s="1168"/>
      <c r="H31" s="1168"/>
      <c r="I31" s="1168"/>
      <c r="J31" s="1168"/>
      <c r="K31" s="1168"/>
      <c r="L31" s="1168"/>
      <c r="M31" s="1168"/>
      <c r="N31" s="1168"/>
      <c r="O31" s="1168"/>
      <c r="P31" s="1168"/>
      <c r="Q31" s="1168"/>
      <c r="R31" s="1168"/>
      <c r="S31" s="1168"/>
    </row>
    <row r="32" spans="1:19" s="46" customFormat="1" ht="15.75" x14ac:dyDescent="0.25">
      <c r="A32" s="348">
        <v>22</v>
      </c>
      <c r="B32" s="349" t="s">
        <v>917</v>
      </c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</row>
    <row r="33" spans="1:19" s="46" customFormat="1" ht="15.75" x14ac:dyDescent="0.25">
      <c r="A33" s="348">
        <v>23</v>
      </c>
      <c r="B33" s="349" t="s">
        <v>918</v>
      </c>
      <c r="C33" s="1168"/>
      <c r="D33" s="1168"/>
      <c r="E33" s="1168"/>
      <c r="F33" s="1168"/>
      <c r="G33" s="1168"/>
      <c r="H33" s="1168"/>
      <c r="I33" s="1168"/>
      <c r="J33" s="1168"/>
      <c r="K33" s="1168"/>
      <c r="L33" s="1168"/>
      <c r="M33" s="1168"/>
      <c r="N33" s="1168"/>
      <c r="O33" s="1168"/>
      <c r="P33" s="1168"/>
      <c r="Q33" s="1168"/>
      <c r="R33" s="1168"/>
      <c r="S33" s="1168"/>
    </row>
    <row r="34" spans="1:19" s="46" customFormat="1" ht="15.75" x14ac:dyDescent="0.25">
      <c r="A34" s="348">
        <v>24</v>
      </c>
      <c r="B34" s="350" t="s">
        <v>919</v>
      </c>
      <c r="C34" s="1168"/>
      <c r="D34" s="1168"/>
      <c r="E34" s="1168"/>
      <c r="F34" s="1168"/>
      <c r="G34" s="1168"/>
      <c r="H34" s="1168"/>
      <c r="I34" s="1168"/>
      <c r="J34" s="1168"/>
      <c r="K34" s="1168"/>
      <c r="L34" s="1168"/>
      <c r="M34" s="1168"/>
      <c r="N34" s="1168"/>
      <c r="O34" s="1168"/>
      <c r="P34" s="1168"/>
      <c r="Q34" s="1168"/>
      <c r="R34" s="1168"/>
      <c r="S34" s="1168"/>
    </row>
    <row r="35" spans="1:19" ht="15.75" x14ac:dyDescent="0.25">
      <c r="A35" s="1159" t="s">
        <v>18</v>
      </c>
      <c r="B35" s="1159"/>
      <c r="C35" s="1168"/>
      <c r="D35" s="1168"/>
      <c r="E35" s="1168"/>
      <c r="F35" s="1168"/>
      <c r="G35" s="1168"/>
      <c r="H35" s="1168"/>
      <c r="I35" s="1168"/>
      <c r="J35" s="1168"/>
      <c r="K35" s="1168"/>
      <c r="L35" s="1168"/>
      <c r="M35" s="1168"/>
      <c r="N35" s="1168"/>
      <c r="O35" s="1168"/>
      <c r="P35" s="1168"/>
      <c r="Q35" s="1168"/>
      <c r="R35" s="1168"/>
      <c r="S35" s="1168"/>
    </row>
    <row r="37" spans="1:19" ht="18" x14ac:dyDescent="0.25">
      <c r="A37" s="681" t="s">
        <v>147</v>
      </c>
      <c r="B37" s="591"/>
      <c r="C37" s="610"/>
      <c r="D37" s="592"/>
      <c r="E37" s="593"/>
      <c r="F37" s="593"/>
      <c r="G37" s="593"/>
      <c r="H37" s="593"/>
      <c r="I37" s="593"/>
      <c r="J37" s="593"/>
      <c r="K37" s="593"/>
      <c r="L37" s="593"/>
      <c r="M37" s="593"/>
      <c r="N37" s="593"/>
    </row>
    <row r="38" spans="1:19" ht="18" x14ac:dyDescent="0.25">
      <c r="A38" s="590"/>
      <c r="B38" s="591"/>
      <c r="C38" s="610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682"/>
      <c r="P38" s="682" t="s">
        <v>12</v>
      </c>
    </row>
    <row r="39" spans="1:19" ht="18" x14ac:dyDescent="0.25">
      <c r="A39" s="590"/>
      <c r="B39" s="591"/>
      <c r="C39" s="610"/>
      <c r="D39" s="593"/>
      <c r="E39" s="593"/>
      <c r="O39" s="680" t="s">
        <v>13</v>
      </c>
      <c r="P39" s="593"/>
      <c r="Q39" s="593"/>
      <c r="R39" s="593"/>
    </row>
    <row r="40" spans="1:19" x14ac:dyDescent="0.25">
      <c r="A40" s="574"/>
      <c r="B40" s="574"/>
      <c r="C40" s="574"/>
      <c r="D40" s="574"/>
      <c r="E40" s="580"/>
      <c r="O40" s="680" t="s">
        <v>87</v>
      </c>
      <c r="P40" s="680"/>
      <c r="Q40" s="680"/>
      <c r="R40" s="680"/>
    </row>
    <row r="41" spans="1:19" x14ac:dyDescent="0.25">
      <c r="A41" s="574"/>
      <c r="B41" s="574"/>
      <c r="C41" s="574"/>
      <c r="D41" s="574"/>
      <c r="E41" s="680"/>
      <c r="O41" s="580" t="s">
        <v>703</v>
      </c>
      <c r="P41" s="680"/>
      <c r="Q41" s="680"/>
      <c r="R41" s="680"/>
    </row>
  </sheetData>
  <mergeCells count="12">
    <mergeCell ref="C11:S35"/>
    <mergeCell ref="A35:B35"/>
    <mergeCell ref="A8:A9"/>
    <mergeCell ref="Q1:R1"/>
    <mergeCell ref="B4:T4"/>
    <mergeCell ref="G2:M2"/>
    <mergeCell ref="S8:S9"/>
    <mergeCell ref="O8:R8"/>
    <mergeCell ref="B8:B9"/>
    <mergeCell ref="C8:F8"/>
    <mergeCell ref="G8:J8"/>
    <mergeCell ref="K8:N8"/>
  </mergeCells>
  <phoneticPr fontId="0" type="noConversion"/>
  <printOptions horizontalCentered="1"/>
  <pageMargins left="0.31" right="0.16" top="0.23622047244094491" bottom="0" header="0.22" footer="0.31496062992125984"/>
  <pageSetup paperSize="9" scale="5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S40"/>
  <sheetViews>
    <sheetView tabSelected="1" topLeftCell="A19" zoomScaleSheetLayoutView="100" workbookViewId="0">
      <selection activeCell="H36" sqref="H36"/>
    </sheetView>
  </sheetViews>
  <sheetFormatPr defaultColWidth="9.140625" defaultRowHeight="15" x14ac:dyDescent="0.25"/>
  <cols>
    <col min="1" max="1" width="9.140625" style="71"/>
    <col min="2" max="2" width="25.140625" style="71" customWidth="1"/>
    <col min="3" max="3" width="17.5703125" style="71" customWidth="1"/>
    <col min="4" max="4" width="19.7109375" style="71" customWidth="1"/>
    <col min="5" max="5" width="18.140625" style="71" customWidth="1"/>
    <col min="6" max="6" width="15.42578125" style="71" customWidth="1"/>
    <col min="7" max="7" width="15.7109375" style="71" customWidth="1"/>
    <col min="8" max="8" width="12.28515625" style="71" customWidth="1"/>
    <col min="9" max="16384" width="9.140625" style="71"/>
  </cols>
  <sheetData>
    <row r="1" spans="1:19" s="15" customFormat="1" x14ac:dyDescent="0.2">
      <c r="C1" s="42"/>
      <c r="D1" s="42"/>
      <c r="E1" s="42"/>
      <c r="F1" s="978" t="s">
        <v>694</v>
      </c>
      <c r="G1" s="978"/>
    </row>
    <row r="2" spans="1:19" s="15" customFormat="1" ht="30.75" customHeight="1" x14ac:dyDescent="0.3">
      <c r="B2" s="851" t="s">
        <v>740</v>
      </c>
      <c r="C2" s="851"/>
      <c r="D2" s="851"/>
      <c r="E2" s="851"/>
      <c r="F2" s="851"/>
      <c r="G2" s="41"/>
      <c r="H2" s="41"/>
      <c r="I2" s="41"/>
    </row>
    <row r="3" spans="1:19" ht="18" x14ac:dyDescent="0.25">
      <c r="B3" s="366" t="s">
        <v>697</v>
      </c>
      <c r="C3" s="366"/>
      <c r="D3" s="366"/>
      <c r="E3" s="366"/>
      <c r="F3" s="366"/>
      <c r="G3" s="366"/>
      <c r="H3" s="366"/>
    </row>
    <row r="4" spans="1:19" ht="15.75" x14ac:dyDescent="0.25">
      <c r="C4" s="72"/>
      <c r="D4" s="73"/>
      <c r="E4" s="72"/>
      <c r="F4" s="72"/>
      <c r="G4" s="72"/>
      <c r="H4" s="72"/>
    </row>
    <row r="5" spans="1:19" ht="15.75" x14ac:dyDescent="0.25">
      <c r="A5" s="275" t="s">
        <v>923</v>
      </c>
      <c r="B5" s="276"/>
    </row>
    <row r="6" spans="1:19" s="76" customFormat="1" ht="30.75" customHeight="1" x14ac:dyDescent="0.25">
      <c r="A6" s="1173" t="s">
        <v>2</v>
      </c>
      <c r="B6" s="1172" t="s">
        <v>3</v>
      </c>
      <c r="C6" s="1172" t="s">
        <v>845</v>
      </c>
      <c r="D6" s="1172" t="s">
        <v>846</v>
      </c>
      <c r="E6" s="1172" t="s">
        <v>693</v>
      </c>
      <c r="F6" s="1172"/>
      <c r="G6" s="1172"/>
    </row>
    <row r="7" spans="1:19" s="76" customFormat="1" ht="32.450000000000003" customHeight="1" x14ac:dyDescent="0.25">
      <c r="A7" s="1173"/>
      <c r="B7" s="1172"/>
      <c r="C7" s="1172"/>
      <c r="D7" s="1172"/>
      <c r="E7" s="360" t="s">
        <v>698</v>
      </c>
      <c r="F7" s="360" t="s">
        <v>692</v>
      </c>
      <c r="G7" s="360" t="s">
        <v>18</v>
      </c>
    </row>
    <row r="8" spans="1:19" s="76" customFormat="1" ht="16.149999999999999" customHeight="1" x14ac:dyDescent="0.25">
      <c r="A8" s="346">
        <v>1</v>
      </c>
      <c r="B8" s="347">
        <v>2</v>
      </c>
      <c r="C8" s="347">
        <v>3</v>
      </c>
      <c r="D8" s="347">
        <v>4</v>
      </c>
      <c r="E8" s="361">
        <v>5</v>
      </c>
      <c r="F8" s="361">
        <v>6</v>
      </c>
      <c r="G8" s="361">
        <v>7</v>
      </c>
    </row>
    <row r="9" spans="1:19" s="46" customFormat="1" ht="15.75" x14ac:dyDescent="0.25">
      <c r="A9" s="348">
        <v>1</v>
      </c>
      <c r="B9" s="349" t="s">
        <v>896</v>
      </c>
      <c r="C9" s="362">
        <v>596</v>
      </c>
      <c r="D9" s="362">
        <v>596</v>
      </c>
      <c r="E9" s="364">
        <f>D9*6000/100000</f>
        <v>35.76</v>
      </c>
      <c r="F9" s="364">
        <f>D9*4000/100000</f>
        <v>23.84</v>
      </c>
      <c r="G9" s="364">
        <f>SUM(E9:F9)</f>
        <v>59.599999999999994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s="46" customFormat="1" ht="15.75" x14ac:dyDescent="0.25">
      <c r="A10" s="348">
        <v>2</v>
      </c>
      <c r="B10" s="349" t="s">
        <v>897</v>
      </c>
      <c r="C10" s="362">
        <v>106</v>
      </c>
      <c r="D10" s="362">
        <v>106</v>
      </c>
      <c r="E10" s="364">
        <f t="shared" ref="E10:E32" si="0">D10*6000/100000</f>
        <v>6.36</v>
      </c>
      <c r="F10" s="364">
        <f t="shared" ref="F10:F32" si="1">D10*4000/100000</f>
        <v>4.24</v>
      </c>
      <c r="G10" s="364">
        <f t="shared" ref="G10:G32" si="2">SUM(E10:F10)</f>
        <v>10.600000000000001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s="46" customFormat="1" ht="15.75" x14ac:dyDescent="0.25">
      <c r="A11" s="348">
        <v>3</v>
      </c>
      <c r="B11" s="349" t="s">
        <v>898</v>
      </c>
      <c r="C11" s="362">
        <v>196</v>
      </c>
      <c r="D11" s="362">
        <v>196</v>
      </c>
      <c r="E11" s="364">
        <f t="shared" si="0"/>
        <v>11.76</v>
      </c>
      <c r="F11" s="364">
        <f t="shared" si="1"/>
        <v>7.84</v>
      </c>
      <c r="G11" s="364">
        <f t="shared" si="2"/>
        <v>19.600000000000001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46" customFormat="1" ht="15.75" x14ac:dyDescent="0.25">
      <c r="A12" s="348">
        <v>4</v>
      </c>
      <c r="B12" s="349" t="s">
        <v>899</v>
      </c>
      <c r="C12" s="362">
        <v>456</v>
      </c>
      <c r="D12" s="362">
        <v>391</v>
      </c>
      <c r="E12" s="364">
        <f t="shared" si="0"/>
        <v>23.46</v>
      </c>
      <c r="F12" s="364">
        <f t="shared" si="1"/>
        <v>15.64</v>
      </c>
      <c r="G12" s="364">
        <f t="shared" si="2"/>
        <v>39.1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46" customFormat="1" ht="15.75" x14ac:dyDescent="0.25">
      <c r="A13" s="348">
        <v>5</v>
      </c>
      <c r="B13" s="349" t="s">
        <v>900</v>
      </c>
      <c r="C13" s="362">
        <v>341</v>
      </c>
      <c r="D13" s="362">
        <v>341</v>
      </c>
      <c r="E13" s="364">
        <f t="shared" si="0"/>
        <v>20.46</v>
      </c>
      <c r="F13" s="364">
        <f t="shared" si="1"/>
        <v>13.64</v>
      </c>
      <c r="G13" s="364">
        <f t="shared" si="2"/>
        <v>34.1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s="46" customFormat="1" ht="15.75" x14ac:dyDescent="0.25">
      <c r="A14" s="348">
        <v>6</v>
      </c>
      <c r="B14" s="349" t="s">
        <v>901</v>
      </c>
      <c r="C14" s="362">
        <v>729</v>
      </c>
      <c r="D14" s="362">
        <v>729</v>
      </c>
      <c r="E14" s="364">
        <f t="shared" si="0"/>
        <v>43.74</v>
      </c>
      <c r="F14" s="364">
        <f t="shared" si="1"/>
        <v>29.16</v>
      </c>
      <c r="G14" s="364">
        <f t="shared" si="2"/>
        <v>72.900000000000006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46" customFormat="1" ht="15.75" x14ac:dyDescent="0.25">
      <c r="A15" s="348">
        <v>7</v>
      </c>
      <c r="B15" s="349" t="s">
        <v>902</v>
      </c>
      <c r="C15" s="362">
        <v>588</v>
      </c>
      <c r="D15" s="362">
        <v>588</v>
      </c>
      <c r="E15" s="364">
        <f t="shared" si="0"/>
        <v>35.28</v>
      </c>
      <c r="F15" s="364">
        <f t="shared" si="1"/>
        <v>23.52</v>
      </c>
      <c r="G15" s="364">
        <f t="shared" si="2"/>
        <v>58.8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s="46" customFormat="1" ht="15.75" x14ac:dyDescent="0.25">
      <c r="A16" s="348">
        <v>8</v>
      </c>
      <c r="B16" s="349" t="s">
        <v>903</v>
      </c>
      <c r="C16" s="362">
        <v>966</v>
      </c>
      <c r="D16" s="362">
        <v>966</v>
      </c>
      <c r="E16" s="364">
        <f t="shared" si="0"/>
        <v>57.96</v>
      </c>
      <c r="F16" s="364">
        <f t="shared" si="1"/>
        <v>38.64</v>
      </c>
      <c r="G16" s="364">
        <f t="shared" si="2"/>
        <v>96.6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46" customFormat="1" ht="15.75" x14ac:dyDescent="0.25">
      <c r="A17" s="348">
        <v>9</v>
      </c>
      <c r="B17" s="349" t="s">
        <v>904</v>
      </c>
      <c r="C17" s="362">
        <v>644</v>
      </c>
      <c r="D17" s="362">
        <v>644</v>
      </c>
      <c r="E17" s="364">
        <f t="shared" si="0"/>
        <v>38.64</v>
      </c>
      <c r="F17" s="364">
        <f t="shared" si="1"/>
        <v>25.76</v>
      </c>
      <c r="G17" s="364">
        <f t="shared" si="2"/>
        <v>64.400000000000006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46" customFormat="1" ht="15.75" x14ac:dyDescent="0.25">
      <c r="A18" s="348">
        <v>10</v>
      </c>
      <c r="B18" s="349" t="s">
        <v>905</v>
      </c>
      <c r="C18" s="362">
        <v>381</v>
      </c>
      <c r="D18" s="362">
        <v>381</v>
      </c>
      <c r="E18" s="364">
        <f t="shared" si="0"/>
        <v>22.86</v>
      </c>
      <c r="F18" s="364">
        <f t="shared" si="1"/>
        <v>15.24</v>
      </c>
      <c r="G18" s="364">
        <f t="shared" si="2"/>
        <v>38.1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46" customFormat="1" ht="15.75" x14ac:dyDescent="0.25">
      <c r="A19" s="348">
        <v>11</v>
      </c>
      <c r="B19" s="349" t="s">
        <v>906</v>
      </c>
      <c r="C19" s="362">
        <v>440</v>
      </c>
      <c r="D19" s="362">
        <v>440</v>
      </c>
      <c r="E19" s="364">
        <f t="shared" si="0"/>
        <v>26.4</v>
      </c>
      <c r="F19" s="364">
        <f t="shared" si="1"/>
        <v>17.600000000000001</v>
      </c>
      <c r="G19" s="364">
        <f t="shared" si="2"/>
        <v>44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46" customFormat="1" ht="15.75" x14ac:dyDescent="0.25">
      <c r="A20" s="348">
        <v>12</v>
      </c>
      <c r="B20" s="349" t="s">
        <v>907</v>
      </c>
      <c r="C20" s="362">
        <v>725</v>
      </c>
      <c r="D20" s="362">
        <v>725</v>
      </c>
      <c r="E20" s="364">
        <f t="shared" si="0"/>
        <v>43.5</v>
      </c>
      <c r="F20" s="364">
        <f t="shared" si="1"/>
        <v>29</v>
      </c>
      <c r="G20" s="364">
        <f t="shared" si="2"/>
        <v>72.5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46" customFormat="1" ht="15.75" x14ac:dyDescent="0.25">
      <c r="A21" s="348">
        <v>13</v>
      </c>
      <c r="B21" s="349" t="s">
        <v>908</v>
      </c>
      <c r="C21" s="362">
        <v>307</v>
      </c>
      <c r="D21" s="362">
        <v>307</v>
      </c>
      <c r="E21" s="364">
        <f t="shared" si="0"/>
        <v>18.420000000000002</v>
      </c>
      <c r="F21" s="364">
        <f t="shared" si="1"/>
        <v>12.28</v>
      </c>
      <c r="G21" s="364">
        <f t="shared" si="2"/>
        <v>30.700000000000003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46" customFormat="1" ht="15.75" x14ac:dyDescent="0.25">
      <c r="A22" s="348">
        <v>14</v>
      </c>
      <c r="B22" s="349" t="s">
        <v>909</v>
      </c>
      <c r="C22" s="362">
        <v>191</v>
      </c>
      <c r="D22" s="362">
        <v>191</v>
      </c>
      <c r="E22" s="364">
        <f t="shared" si="0"/>
        <v>11.46</v>
      </c>
      <c r="F22" s="364">
        <f t="shared" si="1"/>
        <v>7.64</v>
      </c>
      <c r="G22" s="364">
        <f t="shared" si="2"/>
        <v>19.100000000000001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46" customFormat="1" ht="15.75" x14ac:dyDescent="0.25">
      <c r="A23" s="348">
        <v>15</v>
      </c>
      <c r="B23" s="349" t="s">
        <v>910</v>
      </c>
      <c r="C23" s="362">
        <v>648</v>
      </c>
      <c r="D23" s="362">
        <v>648</v>
      </c>
      <c r="E23" s="364">
        <f t="shared" si="0"/>
        <v>38.880000000000003</v>
      </c>
      <c r="F23" s="364">
        <f t="shared" si="1"/>
        <v>25.92</v>
      </c>
      <c r="G23" s="364">
        <f t="shared" si="2"/>
        <v>64.800000000000011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46" customFormat="1" ht="15.75" x14ac:dyDescent="0.25">
      <c r="A24" s="348">
        <v>16</v>
      </c>
      <c r="B24" s="349" t="s">
        <v>911</v>
      </c>
      <c r="C24" s="362">
        <v>903</v>
      </c>
      <c r="D24" s="362">
        <v>536</v>
      </c>
      <c r="E24" s="364">
        <f t="shared" si="0"/>
        <v>32.159999999999997</v>
      </c>
      <c r="F24" s="364">
        <f t="shared" si="1"/>
        <v>21.44</v>
      </c>
      <c r="G24" s="364">
        <f t="shared" si="2"/>
        <v>53.599999999999994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s="46" customFormat="1" ht="15.75" x14ac:dyDescent="0.25">
      <c r="A25" s="348">
        <v>17</v>
      </c>
      <c r="B25" s="349" t="s">
        <v>912</v>
      </c>
      <c r="C25" s="362">
        <v>740</v>
      </c>
      <c r="D25" s="362">
        <v>740</v>
      </c>
      <c r="E25" s="364">
        <f t="shared" si="0"/>
        <v>44.4</v>
      </c>
      <c r="F25" s="364">
        <f t="shared" si="1"/>
        <v>29.6</v>
      </c>
      <c r="G25" s="364">
        <f t="shared" si="2"/>
        <v>74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s="46" customFormat="1" ht="15.75" x14ac:dyDescent="0.25">
      <c r="A26" s="348">
        <v>18</v>
      </c>
      <c r="B26" s="349" t="s">
        <v>913</v>
      </c>
      <c r="C26" s="362">
        <v>469</v>
      </c>
      <c r="D26" s="362">
        <v>469</v>
      </c>
      <c r="E26" s="364">
        <f t="shared" si="0"/>
        <v>28.14</v>
      </c>
      <c r="F26" s="364">
        <f t="shared" si="1"/>
        <v>18.760000000000002</v>
      </c>
      <c r="G26" s="364">
        <f t="shared" si="2"/>
        <v>46.900000000000006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s="46" customFormat="1" ht="15.75" x14ac:dyDescent="0.25">
      <c r="A27" s="348">
        <v>19</v>
      </c>
      <c r="B27" s="349" t="s">
        <v>914</v>
      </c>
      <c r="C27" s="362">
        <v>1066</v>
      </c>
      <c r="D27" s="362">
        <v>1066</v>
      </c>
      <c r="E27" s="364">
        <f t="shared" si="0"/>
        <v>63.96</v>
      </c>
      <c r="F27" s="364">
        <f t="shared" si="1"/>
        <v>42.64</v>
      </c>
      <c r="G27" s="364">
        <f t="shared" si="2"/>
        <v>106.6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s="46" customFormat="1" ht="15.75" x14ac:dyDescent="0.25">
      <c r="A28" s="348">
        <v>20</v>
      </c>
      <c r="B28" s="349" t="s">
        <v>915</v>
      </c>
      <c r="C28" s="362">
        <v>349</v>
      </c>
      <c r="D28" s="362">
        <v>349</v>
      </c>
      <c r="E28" s="364">
        <f t="shared" si="0"/>
        <v>20.94</v>
      </c>
      <c r="F28" s="364">
        <f t="shared" si="1"/>
        <v>13.96</v>
      </c>
      <c r="G28" s="364">
        <f t="shared" si="2"/>
        <v>34.900000000000006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s="46" customFormat="1" ht="15.75" x14ac:dyDescent="0.25">
      <c r="A29" s="348">
        <v>21</v>
      </c>
      <c r="B29" s="349" t="s">
        <v>916</v>
      </c>
      <c r="C29" s="362">
        <v>288</v>
      </c>
      <c r="D29" s="362">
        <v>288</v>
      </c>
      <c r="E29" s="364">
        <f t="shared" si="0"/>
        <v>17.28</v>
      </c>
      <c r="F29" s="364">
        <f t="shared" si="1"/>
        <v>11.52</v>
      </c>
      <c r="G29" s="364">
        <f t="shared" si="2"/>
        <v>28.8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46" customFormat="1" ht="15.75" x14ac:dyDescent="0.25">
      <c r="A30" s="348">
        <v>22</v>
      </c>
      <c r="B30" s="349" t="s">
        <v>917</v>
      </c>
      <c r="C30" s="362">
        <v>318</v>
      </c>
      <c r="D30" s="362">
        <v>318</v>
      </c>
      <c r="E30" s="364">
        <f t="shared" si="0"/>
        <v>19.079999999999998</v>
      </c>
      <c r="F30" s="364">
        <f t="shared" si="1"/>
        <v>12.72</v>
      </c>
      <c r="G30" s="364">
        <f t="shared" si="2"/>
        <v>31.799999999999997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s="46" customFormat="1" ht="15.75" x14ac:dyDescent="0.25">
      <c r="A31" s="348">
        <v>23</v>
      </c>
      <c r="B31" s="349" t="s">
        <v>918</v>
      </c>
      <c r="C31" s="362">
        <v>643</v>
      </c>
      <c r="D31" s="362">
        <v>643</v>
      </c>
      <c r="E31" s="364">
        <f t="shared" si="0"/>
        <v>38.58</v>
      </c>
      <c r="F31" s="364">
        <f t="shared" si="1"/>
        <v>25.72</v>
      </c>
      <c r="G31" s="364">
        <f t="shared" si="2"/>
        <v>64.3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s="46" customFormat="1" ht="15.75" x14ac:dyDescent="0.25">
      <c r="A32" s="348">
        <v>24</v>
      </c>
      <c r="B32" s="350" t="s">
        <v>919</v>
      </c>
      <c r="C32" s="362">
        <v>456</v>
      </c>
      <c r="D32" s="362">
        <v>456</v>
      </c>
      <c r="E32" s="364">
        <f t="shared" si="0"/>
        <v>27.36</v>
      </c>
      <c r="F32" s="364">
        <f t="shared" si="1"/>
        <v>18.239999999999998</v>
      </c>
      <c r="G32" s="364">
        <f t="shared" si="2"/>
        <v>45.599999999999994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s="359" customFormat="1" x14ac:dyDescent="0.25">
      <c r="A33" s="1171" t="s">
        <v>18</v>
      </c>
      <c r="B33" s="1171"/>
      <c r="C33" s="363">
        <f>SUM(C9:C32)</f>
        <v>12546</v>
      </c>
      <c r="D33" s="363">
        <f>SUM(D9:D32)</f>
        <v>12114</v>
      </c>
      <c r="E33" s="365">
        <f>SUM(E9:E32)</f>
        <v>726.84000000000015</v>
      </c>
      <c r="F33" s="365">
        <f>SUM(F9:F32)</f>
        <v>484.55999999999995</v>
      </c>
      <c r="G33" s="365">
        <f>SUM(G9:G32)</f>
        <v>1211.3999999999999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x14ac:dyDescent="0.25"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x14ac:dyDescent="0.25"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ht="18" x14ac:dyDescent="0.25">
      <c r="A36" s="681" t="s">
        <v>147</v>
      </c>
      <c r="B36" s="591"/>
      <c r="C36" s="610"/>
      <c r="D36" s="592"/>
      <c r="E36" s="593"/>
      <c r="F36" s="593"/>
      <c r="G36" s="593"/>
      <c r="H36" s="593"/>
      <c r="I36" s="593"/>
      <c r="J36" s="593"/>
      <c r="K36" s="593"/>
      <c r="L36" s="593"/>
      <c r="M36" s="593"/>
      <c r="N36" s="593"/>
    </row>
    <row r="37" spans="1:19" ht="18" x14ac:dyDescent="0.25">
      <c r="A37" s="590"/>
      <c r="B37" s="591"/>
      <c r="C37" s="610"/>
      <c r="D37" s="593"/>
      <c r="E37" s="682"/>
      <c r="F37" s="682" t="s">
        <v>12</v>
      </c>
      <c r="I37" s="593"/>
      <c r="J37" s="593"/>
      <c r="K37" s="593"/>
      <c r="L37" s="593"/>
      <c r="M37" s="593"/>
      <c r="N37" s="593"/>
      <c r="O37" s="682"/>
      <c r="P37" s="682" t="s">
        <v>12</v>
      </c>
    </row>
    <row r="38" spans="1:19" ht="18" x14ac:dyDescent="0.25">
      <c r="A38" s="590"/>
      <c r="B38" s="591"/>
      <c r="C38" s="610"/>
      <c r="D38" s="593"/>
      <c r="E38" s="680" t="s">
        <v>13</v>
      </c>
      <c r="F38" s="593"/>
      <c r="G38" s="593"/>
      <c r="H38" s="593"/>
      <c r="O38" s="680" t="s">
        <v>13</v>
      </c>
      <c r="P38" s="593"/>
      <c r="Q38" s="593"/>
      <c r="R38" s="593"/>
    </row>
    <row r="39" spans="1:19" x14ac:dyDescent="0.25">
      <c r="A39" s="574"/>
      <c r="B39" s="574"/>
      <c r="C39" s="574"/>
      <c r="D39" s="574"/>
      <c r="E39" s="680" t="s">
        <v>87</v>
      </c>
      <c r="F39" s="680"/>
      <c r="G39" s="680"/>
      <c r="H39" s="680"/>
      <c r="O39" s="680" t="s">
        <v>87</v>
      </c>
      <c r="P39" s="680"/>
      <c r="Q39" s="680"/>
      <c r="R39" s="680"/>
    </row>
    <row r="40" spans="1:19" x14ac:dyDescent="0.25">
      <c r="A40" s="574"/>
      <c r="B40" s="574"/>
      <c r="C40" s="574"/>
      <c r="D40" s="574"/>
      <c r="E40" s="580" t="s">
        <v>703</v>
      </c>
      <c r="F40" s="680"/>
      <c r="G40" s="680"/>
      <c r="H40" s="680"/>
      <c r="O40" s="580" t="s">
        <v>703</v>
      </c>
      <c r="P40" s="680"/>
      <c r="Q40" s="680"/>
      <c r="R40" s="680"/>
    </row>
  </sheetData>
  <mergeCells count="8">
    <mergeCell ref="A33:B33"/>
    <mergeCell ref="F1:G1"/>
    <mergeCell ref="E6:G6"/>
    <mergeCell ref="A6:A7"/>
    <mergeCell ref="B6:B7"/>
    <mergeCell ref="C6:C7"/>
    <mergeCell ref="D6:D7"/>
    <mergeCell ref="B2:F2"/>
  </mergeCells>
  <printOptions horizontalCentered="1"/>
  <pageMargins left="0.32" right="0.18" top="0.23622047244094491" bottom="0" header="0.2" footer="0.15"/>
  <pageSetup paperSize="9" scale="8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1"/>
  <sheetViews>
    <sheetView zoomScale="70" zoomScaleNormal="70" zoomScaleSheetLayoutView="90" workbookViewId="0">
      <selection activeCell="C12" sqref="C12:V35"/>
    </sheetView>
  </sheetViews>
  <sheetFormatPr defaultColWidth="9.140625" defaultRowHeight="15" x14ac:dyDescent="0.25"/>
  <cols>
    <col min="1" max="1" width="9.140625" style="71"/>
    <col min="2" max="2" width="17.85546875" style="71" bestFit="1" customWidth="1"/>
    <col min="3" max="3" width="9.7109375" style="71" customWidth="1"/>
    <col min="4" max="4" width="8.140625" style="71" customWidth="1"/>
    <col min="5" max="5" width="8.42578125" style="71" customWidth="1"/>
    <col min="6" max="6" width="9.140625" style="71" customWidth="1"/>
    <col min="7" max="7" width="9.5703125" style="71" customWidth="1"/>
    <col min="8" max="8" width="8.140625" style="71" customWidth="1"/>
    <col min="9" max="9" width="7.28515625" style="71" customWidth="1"/>
    <col min="10" max="10" width="9.28515625" style="71" customWidth="1"/>
    <col min="11" max="11" width="10.5703125" style="71" customWidth="1"/>
    <col min="12" max="12" width="8.7109375" style="71" customWidth="1"/>
    <col min="13" max="13" width="7.85546875" style="71" customWidth="1"/>
    <col min="14" max="14" width="8.5703125" style="71" customWidth="1"/>
    <col min="15" max="15" width="8.7109375" style="71" customWidth="1"/>
    <col min="16" max="16" width="8.5703125" style="71" customWidth="1"/>
    <col min="17" max="17" width="7.85546875" style="71" customWidth="1"/>
    <col min="18" max="18" width="8.5703125" style="71" customWidth="1"/>
    <col min="19" max="20" width="10.5703125" style="71" customWidth="1"/>
    <col min="21" max="21" width="11.140625" style="71" customWidth="1"/>
    <col min="22" max="22" width="10.7109375" style="71" bestFit="1" customWidth="1"/>
    <col min="23" max="16384" width="9.140625" style="71"/>
  </cols>
  <sheetData>
    <row r="1" spans="1:24" s="15" customFormat="1" ht="15.75" x14ac:dyDescent="0.25">
      <c r="C1" s="42"/>
      <c r="D1" s="42"/>
      <c r="E1" s="42"/>
      <c r="F1" s="42"/>
      <c r="G1" s="42"/>
      <c r="H1" s="42"/>
      <c r="I1" s="97" t="s">
        <v>0</v>
      </c>
      <c r="J1" s="97"/>
      <c r="S1" s="38"/>
      <c r="T1" s="38"/>
      <c r="U1" s="928" t="s">
        <v>534</v>
      </c>
      <c r="V1" s="928"/>
      <c r="W1" s="40"/>
      <c r="X1" s="40"/>
    </row>
    <row r="2" spans="1:24" s="15" customFormat="1" ht="20.25" x14ac:dyDescent="0.3">
      <c r="E2" s="851" t="s">
        <v>740</v>
      </c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</row>
    <row r="3" spans="1:24" s="15" customFormat="1" ht="20.25" x14ac:dyDescent="0.3">
      <c r="H3" s="41"/>
      <c r="I3" s="41"/>
      <c r="J3" s="41"/>
      <c r="K3" s="41"/>
      <c r="L3" s="41"/>
      <c r="M3" s="41"/>
      <c r="N3" s="41"/>
      <c r="O3" s="41"/>
      <c r="P3" s="41"/>
    </row>
    <row r="4" spans="1:24" ht="15.75" x14ac:dyDescent="0.25">
      <c r="C4" s="852" t="s">
        <v>755</v>
      </c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44"/>
      <c r="S4" s="100"/>
      <c r="T4" s="100"/>
      <c r="U4" s="100"/>
      <c r="V4" s="100"/>
      <c r="W4" s="97"/>
    </row>
    <row r="5" spans="1:24" x14ac:dyDescent="0.25">
      <c r="C5" s="72"/>
      <c r="D5" s="72"/>
      <c r="E5" s="72"/>
      <c r="F5" s="72"/>
      <c r="G5" s="72"/>
      <c r="H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4" x14ac:dyDescent="0.25">
      <c r="A6" s="75" t="s">
        <v>920</v>
      </c>
      <c r="B6" s="80"/>
    </row>
    <row r="7" spans="1:24" x14ac:dyDescent="0.25">
      <c r="B7" s="238"/>
    </row>
    <row r="8" spans="1:24" s="75" customFormat="1" ht="24.75" customHeight="1" x14ac:dyDescent="0.25">
      <c r="A8" s="834" t="s">
        <v>2</v>
      </c>
      <c r="B8" s="1163" t="s">
        <v>3</v>
      </c>
      <c r="C8" s="1160" t="s">
        <v>684</v>
      </c>
      <c r="D8" s="1161"/>
      <c r="E8" s="1161"/>
      <c r="F8" s="1161"/>
      <c r="G8" s="1160" t="s">
        <v>688</v>
      </c>
      <c r="H8" s="1161"/>
      <c r="I8" s="1161"/>
      <c r="J8" s="1161"/>
      <c r="K8" s="1160" t="s">
        <v>689</v>
      </c>
      <c r="L8" s="1161"/>
      <c r="M8" s="1161"/>
      <c r="N8" s="1161"/>
      <c r="O8" s="1160" t="s">
        <v>690</v>
      </c>
      <c r="P8" s="1161"/>
      <c r="Q8" s="1161"/>
      <c r="R8" s="1161"/>
      <c r="S8" s="1180" t="s">
        <v>18</v>
      </c>
      <c r="T8" s="1181"/>
      <c r="U8" s="1181"/>
      <c r="V8" s="1181"/>
    </row>
    <row r="9" spans="1:24" s="76" customFormat="1" ht="29.25" customHeight="1" x14ac:dyDescent="0.25">
      <c r="A9" s="834"/>
      <c r="B9" s="1163"/>
      <c r="C9" s="1175" t="s">
        <v>685</v>
      </c>
      <c r="D9" s="1177" t="s">
        <v>687</v>
      </c>
      <c r="E9" s="1178"/>
      <c r="F9" s="1179"/>
      <c r="G9" s="1175" t="s">
        <v>685</v>
      </c>
      <c r="H9" s="1177" t="s">
        <v>687</v>
      </c>
      <c r="I9" s="1178"/>
      <c r="J9" s="1179"/>
      <c r="K9" s="1175" t="s">
        <v>685</v>
      </c>
      <c r="L9" s="1177" t="s">
        <v>687</v>
      </c>
      <c r="M9" s="1178"/>
      <c r="N9" s="1179"/>
      <c r="O9" s="1175" t="s">
        <v>685</v>
      </c>
      <c r="P9" s="1177" t="s">
        <v>687</v>
      </c>
      <c r="Q9" s="1178"/>
      <c r="R9" s="1179"/>
      <c r="S9" s="1175" t="s">
        <v>685</v>
      </c>
      <c r="T9" s="1177" t="s">
        <v>687</v>
      </c>
      <c r="U9" s="1178"/>
      <c r="V9" s="1179"/>
    </row>
    <row r="10" spans="1:24" s="76" customFormat="1" ht="46.5" customHeight="1" x14ac:dyDescent="0.25">
      <c r="A10" s="834"/>
      <c r="B10" s="1163"/>
      <c r="C10" s="1176"/>
      <c r="D10" s="70" t="s">
        <v>686</v>
      </c>
      <c r="E10" s="70" t="s">
        <v>198</v>
      </c>
      <c r="F10" s="70" t="s">
        <v>18</v>
      </c>
      <c r="G10" s="1176"/>
      <c r="H10" s="70" t="s">
        <v>686</v>
      </c>
      <c r="I10" s="70" t="s">
        <v>198</v>
      </c>
      <c r="J10" s="70" t="s">
        <v>18</v>
      </c>
      <c r="K10" s="1176"/>
      <c r="L10" s="70" t="s">
        <v>686</v>
      </c>
      <c r="M10" s="70" t="s">
        <v>198</v>
      </c>
      <c r="N10" s="70" t="s">
        <v>18</v>
      </c>
      <c r="O10" s="1176"/>
      <c r="P10" s="70" t="s">
        <v>686</v>
      </c>
      <c r="Q10" s="70" t="s">
        <v>198</v>
      </c>
      <c r="R10" s="70" t="s">
        <v>18</v>
      </c>
      <c r="S10" s="1176"/>
      <c r="T10" s="70" t="s">
        <v>686</v>
      </c>
      <c r="U10" s="70" t="s">
        <v>198</v>
      </c>
      <c r="V10" s="70" t="s">
        <v>18</v>
      </c>
    </row>
    <row r="11" spans="1:24" s="134" customFormat="1" ht="16.149999999999999" customHeight="1" x14ac:dyDescent="0.25">
      <c r="A11" s="239">
        <v>1</v>
      </c>
      <c r="B11" s="133">
        <v>2</v>
      </c>
      <c r="C11" s="133">
        <v>3</v>
      </c>
      <c r="D11" s="239">
        <v>4</v>
      </c>
      <c r="E11" s="133">
        <v>5</v>
      </c>
      <c r="F11" s="133">
        <v>6</v>
      </c>
      <c r="G11" s="239">
        <v>7</v>
      </c>
      <c r="H11" s="133">
        <v>8</v>
      </c>
      <c r="I11" s="133">
        <v>9</v>
      </c>
      <c r="J11" s="239">
        <v>10</v>
      </c>
      <c r="K11" s="133">
        <v>11</v>
      </c>
      <c r="L11" s="133">
        <v>12</v>
      </c>
      <c r="M11" s="239">
        <v>13</v>
      </c>
      <c r="N11" s="133">
        <v>14</v>
      </c>
      <c r="O11" s="133">
        <v>15</v>
      </c>
      <c r="P11" s="239">
        <v>16</v>
      </c>
      <c r="Q11" s="133">
        <v>17</v>
      </c>
      <c r="R11" s="133">
        <v>18</v>
      </c>
      <c r="S11" s="239">
        <v>19</v>
      </c>
      <c r="T11" s="133">
        <v>20</v>
      </c>
      <c r="U11" s="133">
        <v>21</v>
      </c>
      <c r="V11" s="239">
        <v>22</v>
      </c>
    </row>
    <row r="12" spans="1:24" s="46" customFormat="1" ht="15" customHeight="1" x14ac:dyDescent="0.2">
      <c r="A12" s="272">
        <v>1</v>
      </c>
      <c r="B12" s="273" t="s">
        <v>896</v>
      </c>
      <c r="C12" s="1174" t="s">
        <v>1006</v>
      </c>
      <c r="D12" s="1174"/>
      <c r="E12" s="1174"/>
      <c r="F12" s="1174"/>
      <c r="G12" s="1174"/>
      <c r="H12" s="1174"/>
      <c r="I12" s="1174"/>
      <c r="J12" s="1174"/>
      <c r="K12" s="1174"/>
      <c r="L12" s="1174"/>
      <c r="M12" s="1174"/>
      <c r="N12" s="1174"/>
      <c r="O12" s="1174"/>
      <c r="P12" s="1174"/>
      <c r="Q12" s="1174"/>
      <c r="R12" s="1174"/>
      <c r="S12" s="1174"/>
      <c r="T12" s="1174"/>
      <c r="U12" s="1174"/>
      <c r="V12" s="1174"/>
    </row>
    <row r="13" spans="1:24" s="46" customFormat="1" ht="15" customHeight="1" x14ac:dyDescent="0.2">
      <c r="A13" s="272">
        <v>2</v>
      </c>
      <c r="B13" s="273" t="s">
        <v>897</v>
      </c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</row>
    <row r="14" spans="1:24" s="46" customFormat="1" ht="15" customHeight="1" x14ac:dyDescent="0.2">
      <c r="A14" s="272">
        <v>3</v>
      </c>
      <c r="B14" s="273" t="s">
        <v>898</v>
      </c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</row>
    <row r="15" spans="1:24" s="46" customFormat="1" ht="15" customHeight="1" x14ac:dyDescent="0.2">
      <c r="A15" s="272">
        <v>4</v>
      </c>
      <c r="B15" s="273" t="s">
        <v>899</v>
      </c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</row>
    <row r="16" spans="1:24" s="46" customFormat="1" ht="15" customHeight="1" x14ac:dyDescent="0.2">
      <c r="A16" s="272">
        <v>5</v>
      </c>
      <c r="B16" s="273" t="s">
        <v>900</v>
      </c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</row>
    <row r="17" spans="1:22" s="46" customFormat="1" ht="15" customHeight="1" x14ac:dyDescent="0.2">
      <c r="A17" s="272">
        <v>6</v>
      </c>
      <c r="B17" s="273" t="s">
        <v>901</v>
      </c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</row>
    <row r="18" spans="1:22" s="46" customFormat="1" ht="15" customHeight="1" x14ac:dyDescent="0.2">
      <c r="A18" s="272">
        <v>7</v>
      </c>
      <c r="B18" s="273" t="s">
        <v>902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4"/>
      <c r="S18" s="1174"/>
      <c r="T18" s="1174"/>
      <c r="U18" s="1174"/>
      <c r="V18" s="1174"/>
    </row>
    <row r="19" spans="1:22" s="46" customFormat="1" ht="15" customHeight="1" x14ac:dyDescent="0.2">
      <c r="A19" s="272">
        <v>8</v>
      </c>
      <c r="B19" s="273" t="s">
        <v>903</v>
      </c>
      <c r="C19" s="1174"/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</row>
    <row r="20" spans="1:22" s="46" customFormat="1" ht="15" customHeight="1" x14ac:dyDescent="0.2">
      <c r="A20" s="272">
        <v>9</v>
      </c>
      <c r="B20" s="273" t="s">
        <v>904</v>
      </c>
      <c r="C20" s="1174"/>
      <c r="D20" s="1174"/>
      <c r="E20" s="1174"/>
      <c r="F20" s="1174"/>
      <c r="G20" s="1174"/>
      <c r="H20" s="1174"/>
      <c r="I20" s="1174"/>
      <c r="J20" s="1174"/>
      <c r="K20" s="1174"/>
      <c r="L20" s="1174"/>
      <c r="M20" s="1174"/>
      <c r="N20" s="1174"/>
      <c r="O20" s="1174"/>
      <c r="P20" s="1174"/>
      <c r="Q20" s="1174"/>
      <c r="R20" s="1174"/>
      <c r="S20" s="1174"/>
      <c r="T20" s="1174"/>
      <c r="U20" s="1174"/>
      <c r="V20" s="1174"/>
    </row>
    <row r="21" spans="1:22" s="46" customFormat="1" ht="15" customHeight="1" x14ac:dyDescent="0.2">
      <c r="A21" s="272">
        <v>10</v>
      </c>
      <c r="B21" s="273" t="s">
        <v>905</v>
      </c>
      <c r="C21" s="1174"/>
      <c r="D21" s="1174"/>
      <c r="E21" s="1174"/>
      <c r="F21" s="1174"/>
      <c r="G21" s="1174"/>
      <c r="H21" s="1174"/>
      <c r="I21" s="1174"/>
      <c r="J21" s="1174"/>
      <c r="K21" s="1174"/>
      <c r="L21" s="1174"/>
      <c r="M21" s="1174"/>
      <c r="N21" s="1174"/>
      <c r="O21" s="1174"/>
      <c r="P21" s="1174"/>
      <c r="Q21" s="1174"/>
      <c r="R21" s="1174"/>
      <c r="S21" s="1174"/>
      <c r="T21" s="1174"/>
      <c r="U21" s="1174"/>
      <c r="V21" s="1174"/>
    </row>
    <row r="22" spans="1:22" s="46" customFormat="1" ht="15" customHeight="1" x14ac:dyDescent="0.2">
      <c r="A22" s="272">
        <v>11</v>
      </c>
      <c r="B22" s="273" t="s">
        <v>906</v>
      </c>
      <c r="C22" s="1174"/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</row>
    <row r="23" spans="1:22" s="46" customFormat="1" ht="15" customHeight="1" x14ac:dyDescent="0.2">
      <c r="A23" s="272">
        <v>12</v>
      </c>
      <c r="B23" s="273" t="s">
        <v>907</v>
      </c>
      <c r="C23" s="1174"/>
      <c r="D23" s="1174"/>
      <c r="E23" s="1174"/>
      <c r="F23" s="1174"/>
      <c r="G23" s="1174"/>
      <c r="H23" s="1174"/>
      <c r="I23" s="1174"/>
      <c r="J23" s="1174"/>
      <c r="K23" s="1174"/>
      <c r="L23" s="1174"/>
      <c r="M23" s="1174"/>
      <c r="N23" s="1174"/>
      <c r="O23" s="1174"/>
      <c r="P23" s="1174"/>
      <c r="Q23" s="1174"/>
      <c r="R23" s="1174"/>
      <c r="S23" s="1174"/>
      <c r="T23" s="1174"/>
      <c r="U23" s="1174"/>
      <c r="V23" s="1174"/>
    </row>
    <row r="24" spans="1:22" s="46" customFormat="1" ht="15" customHeight="1" x14ac:dyDescent="0.2">
      <c r="A24" s="272">
        <v>13</v>
      </c>
      <c r="B24" s="273" t="s">
        <v>908</v>
      </c>
      <c r="C24" s="1174"/>
      <c r="D24" s="1174"/>
      <c r="E24" s="1174"/>
      <c r="F24" s="1174"/>
      <c r="G24" s="1174"/>
      <c r="H24" s="1174"/>
      <c r="I24" s="1174"/>
      <c r="J24" s="1174"/>
      <c r="K24" s="1174"/>
      <c r="L24" s="1174"/>
      <c r="M24" s="1174"/>
      <c r="N24" s="1174"/>
      <c r="O24" s="1174"/>
      <c r="P24" s="1174"/>
      <c r="Q24" s="1174"/>
      <c r="R24" s="1174"/>
      <c r="S24" s="1174"/>
      <c r="T24" s="1174"/>
      <c r="U24" s="1174"/>
      <c r="V24" s="1174"/>
    </row>
    <row r="25" spans="1:22" s="46" customFormat="1" ht="15" customHeight="1" x14ac:dyDescent="0.2">
      <c r="A25" s="272">
        <v>14</v>
      </c>
      <c r="B25" s="273" t="s">
        <v>909</v>
      </c>
      <c r="C25" s="1174"/>
      <c r="D25" s="1174"/>
      <c r="E25" s="1174"/>
      <c r="F25" s="1174"/>
      <c r="G25" s="1174"/>
      <c r="H25" s="1174"/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</row>
    <row r="26" spans="1:22" s="46" customFormat="1" ht="15" customHeight="1" x14ac:dyDescent="0.2">
      <c r="A26" s="272">
        <v>15</v>
      </c>
      <c r="B26" s="273" t="s">
        <v>910</v>
      </c>
      <c r="C26" s="1174"/>
      <c r="D26" s="1174"/>
      <c r="E26" s="1174"/>
      <c r="F26" s="1174"/>
      <c r="G26" s="1174"/>
      <c r="H26" s="1174"/>
      <c r="I26" s="1174"/>
      <c r="J26" s="1174"/>
      <c r="K26" s="1174"/>
      <c r="L26" s="1174"/>
      <c r="M26" s="1174"/>
      <c r="N26" s="1174"/>
      <c r="O26" s="1174"/>
      <c r="P26" s="1174"/>
      <c r="Q26" s="1174"/>
      <c r="R26" s="1174"/>
      <c r="S26" s="1174"/>
      <c r="T26" s="1174"/>
      <c r="U26" s="1174"/>
      <c r="V26" s="1174"/>
    </row>
    <row r="27" spans="1:22" s="46" customFormat="1" ht="15" customHeight="1" x14ac:dyDescent="0.2">
      <c r="A27" s="272">
        <v>16</v>
      </c>
      <c r="B27" s="273" t="s">
        <v>911</v>
      </c>
      <c r="C27" s="1174"/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</row>
    <row r="28" spans="1:22" s="46" customFormat="1" ht="16.5" customHeight="1" x14ac:dyDescent="0.2">
      <c r="A28" s="272">
        <v>17</v>
      </c>
      <c r="B28" s="273" t="s">
        <v>912</v>
      </c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174"/>
    </row>
    <row r="29" spans="1:22" s="46" customFormat="1" ht="15" customHeight="1" x14ac:dyDescent="0.2">
      <c r="A29" s="272">
        <v>18</v>
      </c>
      <c r="B29" s="273" t="s">
        <v>913</v>
      </c>
      <c r="C29" s="1174"/>
      <c r="D29" s="1174"/>
      <c r="E29" s="1174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4"/>
      <c r="R29" s="1174"/>
      <c r="S29" s="1174"/>
      <c r="T29" s="1174"/>
      <c r="U29" s="1174"/>
      <c r="V29" s="1174"/>
    </row>
    <row r="30" spans="1:22" s="46" customFormat="1" ht="15" customHeight="1" x14ac:dyDescent="0.2">
      <c r="A30" s="272">
        <v>19</v>
      </c>
      <c r="B30" s="273" t="s">
        <v>914</v>
      </c>
      <c r="C30" s="1174"/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  <c r="N30" s="1174"/>
      <c r="O30" s="1174"/>
      <c r="P30" s="1174"/>
      <c r="Q30" s="1174"/>
      <c r="R30" s="1174"/>
      <c r="S30" s="1174"/>
      <c r="T30" s="1174"/>
      <c r="U30" s="1174"/>
      <c r="V30" s="1174"/>
    </row>
    <row r="31" spans="1:22" s="46" customFormat="1" ht="15" customHeight="1" x14ac:dyDescent="0.2">
      <c r="A31" s="272">
        <v>20</v>
      </c>
      <c r="B31" s="273" t="s">
        <v>915</v>
      </c>
      <c r="C31" s="1174"/>
      <c r="D31" s="1174"/>
      <c r="E31" s="1174"/>
      <c r="F31" s="1174"/>
      <c r="G31" s="1174"/>
      <c r="H31" s="1174"/>
      <c r="I31" s="1174"/>
      <c r="J31" s="1174"/>
      <c r="K31" s="1174"/>
      <c r="L31" s="1174"/>
      <c r="M31" s="1174"/>
      <c r="N31" s="1174"/>
      <c r="O31" s="1174"/>
      <c r="P31" s="1174"/>
      <c r="Q31" s="1174"/>
      <c r="R31" s="1174"/>
      <c r="S31" s="1174"/>
      <c r="T31" s="1174"/>
      <c r="U31" s="1174"/>
      <c r="V31" s="1174"/>
    </row>
    <row r="32" spans="1:22" s="46" customFormat="1" ht="15" customHeight="1" x14ac:dyDescent="0.2">
      <c r="A32" s="272">
        <v>21</v>
      </c>
      <c r="B32" s="273" t="s">
        <v>916</v>
      </c>
      <c r="C32" s="1174"/>
      <c r="D32" s="1174"/>
      <c r="E32" s="1174"/>
      <c r="F32" s="1174"/>
      <c r="G32" s="1174"/>
      <c r="H32" s="1174"/>
      <c r="I32" s="1174"/>
      <c r="J32" s="1174"/>
      <c r="K32" s="1174"/>
      <c r="L32" s="1174"/>
      <c r="M32" s="1174"/>
      <c r="N32" s="1174"/>
      <c r="O32" s="1174"/>
      <c r="P32" s="1174"/>
      <c r="Q32" s="1174"/>
      <c r="R32" s="1174"/>
      <c r="S32" s="1174"/>
      <c r="T32" s="1174"/>
      <c r="U32" s="1174"/>
      <c r="V32" s="1174"/>
    </row>
    <row r="33" spans="1:22" s="46" customFormat="1" ht="15" customHeight="1" x14ac:dyDescent="0.2">
      <c r="A33" s="272">
        <v>22</v>
      </c>
      <c r="B33" s="273" t="s">
        <v>917</v>
      </c>
      <c r="C33" s="1174"/>
      <c r="D33" s="1174"/>
      <c r="E33" s="1174"/>
      <c r="F33" s="1174"/>
      <c r="G33" s="1174"/>
      <c r="H33" s="1174"/>
      <c r="I33" s="1174"/>
      <c r="J33" s="1174"/>
      <c r="K33" s="1174"/>
      <c r="L33" s="1174"/>
      <c r="M33" s="1174"/>
      <c r="N33" s="1174"/>
      <c r="O33" s="1174"/>
      <c r="P33" s="1174"/>
      <c r="Q33" s="1174"/>
      <c r="R33" s="1174"/>
      <c r="S33" s="1174"/>
      <c r="T33" s="1174"/>
      <c r="U33" s="1174"/>
      <c r="V33" s="1174"/>
    </row>
    <row r="34" spans="1:22" s="46" customFormat="1" ht="15" customHeight="1" x14ac:dyDescent="0.2">
      <c r="A34" s="272">
        <v>23</v>
      </c>
      <c r="B34" s="273" t="s">
        <v>918</v>
      </c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</row>
    <row r="35" spans="1:22" s="46" customFormat="1" ht="15" customHeight="1" x14ac:dyDescent="0.2">
      <c r="A35" s="272">
        <v>24</v>
      </c>
      <c r="B35" s="274" t="s">
        <v>919</v>
      </c>
      <c r="C35" s="1174"/>
      <c r="D35" s="1174"/>
      <c r="E35" s="1174"/>
      <c r="F35" s="1174"/>
      <c r="G35" s="1174"/>
      <c r="H35" s="1174"/>
      <c r="I35" s="1174"/>
      <c r="J35" s="1174"/>
      <c r="K35" s="1174"/>
      <c r="L35" s="1174"/>
      <c r="M35" s="1174"/>
      <c r="N35" s="1174"/>
      <c r="O35" s="1174"/>
      <c r="P35" s="1174"/>
      <c r="Q35" s="1174"/>
      <c r="R35" s="1174"/>
      <c r="S35" s="1174"/>
      <c r="T35" s="1174"/>
      <c r="U35" s="1174"/>
      <c r="V35" s="1174"/>
    </row>
    <row r="37" spans="1:22" ht="18" x14ac:dyDescent="0.25">
      <c r="A37" s="681" t="s">
        <v>147</v>
      </c>
      <c r="B37" s="591"/>
      <c r="C37" s="610"/>
      <c r="D37" s="592"/>
      <c r="E37" s="593"/>
      <c r="F37" s="593"/>
      <c r="G37" s="593"/>
    </row>
    <row r="38" spans="1:22" ht="18" x14ac:dyDescent="0.25">
      <c r="A38" s="590"/>
      <c r="B38" s="591"/>
      <c r="C38" s="610"/>
      <c r="D38" s="593"/>
      <c r="E38" s="682"/>
      <c r="F38" s="682"/>
      <c r="S38" s="682"/>
      <c r="T38" s="682" t="s">
        <v>12</v>
      </c>
    </row>
    <row r="39" spans="1:22" ht="18" x14ac:dyDescent="0.25">
      <c r="A39" s="590"/>
      <c r="B39" s="591"/>
      <c r="C39" s="610"/>
      <c r="D39" s="593"/>
      <c r="E39" s="680"/>
      <c r="F39" s="593"/>
      <c r="G39" s="593"/>
      <c r="S39" s="680" t="s">
        <v>13</v>
      </c>
      <c r="T39" s="593"/>
      <c r="U39" s="593"/>
    </row>
    <row r="40" spans="1:22" x14ac:dyDescent="0.25">
      <c r="A40" s="574"/>
      <c r="B40" s="574"/>
      <c r="C40" s="574"/>
      <c r="D40" s="574"/>
      <c r="E40" s="680"/>
      <c r="F40" s="680"/>
      <c r="G40" s="680"/>
      <c r="S40" s="680" t="s">
        <v>87</v>
      </c>
      <c r="T40" s="680"/>
      <c r="U40" s="680"/>
    </row>
    <row r="41" spans="1:22" x14ac:dyDescent="0.25">
      <c r="A41" s="574"/>
      <c r="B41" s="574"/>
      <c r="C41" s="574"/>
      <c r="D41" s="574"/>
      <c r="E41" s="580"/>
      <c r="F41" s="680"/>
      <c r="G41" s="680"/>
      <c r="S41" s="580" t="s">
        <v>703</v>
      </c>
      <c r="T41" s="680"/>
      <c r="U41" s="680"/>
    </row>
  </sheetData>
  <mergeCells count="21">
    <mergeCell ref="U1:V1"/>
    <mergeCell ref="E2:P2"/>
    <mergeCell ref="C4:Q4"/>
    <mergeCell ref="S8:V8"/>
    <mergeCell ref="K9:K10"/>
    <mergeCell ref="O8:R8"/>
    <mergeCell ref="C9:C10"/>
    <mergeCell ref="D9:F9"/>
    <mergeCell ref="C12:V35"/>
    <mergeCell ref="A8:A10"/>
    <mergeCell ref="B8:B10"/>
    <mergeCell ref="C8:F8"/>
    <mergeCell ref="G8:J8"/>
    <mergeCell ref="K8:N8"/>
    <mergeCell ref="G9:G10"/>
    <mergeCell ref="L9:N9"/>
    <mergeCell ref="H9:J9"/>
    <mergeCell ref="O9:O10"/>
    <mergeCell ref="P9:R9"/>
    <mergeCell ref="T9:V9"/>
    <mergeCell ref="S9:S10"/>
  </mergeCells>
  <printOptions horizontalCentered="1"/>
  <pageMargins left="0.36" right="0.16" top="0.23622047244094491" bottom="0" header="0.19" footer="0.31496062992125984"/>
  <pageSetup paperSize="9" scale="6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X43"/>
  <sheetViews>
    <sheetView topLeftCell="B14" zoomScale="85" zoomScaleNormal="85" zoomScaleSheetLayoutView="90" workbookViewId="0">
      <selection activeCell="U36" sqref="U36"/>
    </sheetView>
  </sheetViews>
  <sheetFormatPr defaultColWidth="9.140625" defaultRowHeight="15" x14ac:dyDescent="0.25"/>
  <cols>
    <col min="1" max="1" width="9.140625" style="71"/>
    <col min="2" max="2" width="17.85546875" style="71" bestFit="1" customWidth="1"/>
    <col min="3" max="3" width="9.7109375" style="71" customWidth="1"/>
    <col min="4" max="4" width="8.140625" style="71" customWidth="1"/>
    <col min="5" max="5" width="7.42578125" style="71" customWidth="1"/>
    <col min="6" max="6" width="9.140625" style="71" customWidth="1"/>
    <col min="7" max="7" width="9.5703125" style="71" customWidth="1"/>
    <col min="8" max="8" width="8.140625" style="71" customWidth="1"/>
    <col min="9" max="9" width="6.85546875" style="71" customWidth="1"/>
    <col min="10" max="10" width="9.28515625" style="71" customWidth="1"/>
    <col min="11" max="11" width="10.5703125" style="71" customWidth="1"/>
    <col min="12" max="12" width="8.7109375" style="71" customWidth="1"/>
    <col min="13" max="13" width="7.42578125" style="71" customWidth="1"/>
    <col min="14" max="14" width="8.5703125" style="71" customWidth="1"/>
    <col min="15" max="15" width="8.7109375" style="71" customWidth="1"/>
    <col min="16" max="16" width="8.5703125" style="71" customWidth="1"/>
    <col min="17" max="17" width="7.85546875" style="71" customWidth="1"/>
    <col min="18" max="18" width="8.5703125" style="71" customWidth="1"/>
    <col min="19" max="20" width="10.5703125" style="71" customWidth="1"/>
    <col min="21" max="21" width="11.140625" style="71" customWidth="1"/>
    <col min="22" max="22" width="10.7109375" style="71" bestFit="1" customWidth="1"/>
    <col min="23" max="16384" width="9.140625" style="71"/>
  </cols>
  <sheetData>
    <row r="1" spans="1:24" s="15" customFormat="1" ht="15.75" x14ac:dyDescent="0.25">
      <c r="C1" s="42"/>
      <c r="D1" s="42"/>
      <c r="E1" s="42"/>
      <c r="F1" s="42"/>
      <c r="G1" s="42"/>
      <c r="H1" s="42"/>
      <c r="I1" s="97" t="s">
        <v>0</v>
      </c>
      <c r="J1" s="97"/>
      <c r="S1" s="38"/>
      <c r="T1" s="38"/>
      <c r="U1" s="928" t="s">
        <v>691</v>
      </c>
      <c r="V1" s="928"/>
      <c r="W1" s="40"/>
      <c r="X1" s="40"/>
    </row>
    <row r="2" spans="1:24" s="15" customFormat="1" ht="20.25" x14ac:dyDescent="0.3">
      <c r="E2" s="851" t="s">
        <v>740</v>
      </c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</row>
    <row r="3" spans="1:24" s="15" customFormat="1" ht="20.25" x14ac:dyDescent="0.3">
      <c r="H3" s="41"/>
      <c r="I3" s="41"/>
      <c r="J3" s="41"/>
      <c r="K3" s="41"/>
      <c r="L3" s="41"/>
      <c r="M3" s="41"/>
      <c r="N3" s="41"/>
      <c r="O3" s="41"/>
      <c r="P3" s="41"/>
    </row>
    <row r="4" spans="1:24" ht="15.75" x14ac:dyDescent="0.25">
      <c r="C4" s="852" t="s">
        <v>756</v>
      </c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44"/>
      <c r="S4" s="100"/>
      <c r="T4" s="100"/>
      <c r="U4" s="100"/>
      <c r="V4" s="100"/>
      <c r="W4" s="97"/>
    </row>
    <row r="5" spans="1:24" x14ac:dyDescent="0.25">
      <c r="C5" s="72"/>
      <c r="D5" s="72"/>
      <c r="E5" s="72"/>
      <c r="F5" s="72"/>
      <c r="G5" s="72"/>
      <c r="H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4" x14ac:dyDescent="0.25">
      <c r="A6" s="75" t="s">
        <v>920</v>
      </c>
      <c r="B6" s="80"/>
    </row>
    <row r="7" spans="1:24" x14ac:dyDescent="0.25">
      <c r="B7" s="238"/>
    </row>
    <row r="8" spans="1:24" s="75" customFormat="1" ht="24.75" customHeight="1" x14ac:dyDescent="0.25">
      <c r="A8" s="834" t="s">
        <v>2</v>
      </c>
      <c r="B8" s="1163" t="s">
        <v>3</v>
      </c>
      <c r="C8" s="1160" t="s">
        <v>684</v>
      </c>
      <c r="D8" s="1161"/>
      <c r="E8" s="1161"/>
      <c r="F8" s="1161"/>
      <c r="G8" s="1160" t="s">
        <v>688</v>
      </c>
      <c r="H8" s="1161"/>
      <c r="I8" s="1161"/>
      <c r="J8" s="1161"/>
      <c r="K8" s="1160" t="s">
        <v>689</v>
      </c>
      <c r="L8" s="1161"/>
      <c r="M8" s="1161"/>
      <c r="N8" s="1161"/>
      <c r="O8" s="1160" t="s">
        <v>690</v>
      </c>
      <c r="P8" s="1161"/>
      <c r="Q8" s="1161"/>
      <c r="R8" s="1161"/>
      <c r="S8" s="1180" t="s">
        <v>18</v>
      </c>
      <c r="T8" s="1181"/>
      <c r="U8" s="1181"/>
      <c r="V8" s="1181"/>
    </row>
    <row r="9" spans="1:24" s="76" customFormat="1" ht="29.25" customHeight="1" x14ac:dyDescent="0.25">
      <c r="A9" s="834"/>
      <c r="B9" s="1163"/>
      <c r="C9" s="1175" t="s">
        <v>685</v>
      </c>
      <c r="D9" s="1177" t="s">
        <v>687</v>
      </c>
      <c r="E9" s="1178"/>
      <c r="F9" s="1179"/>
      <c r="G9" s="1175" t="s">
        <v>685</v>
      </c>
      <c r="H9" s="1177" t="s">
        <v>687</v>
      </c>
      <c r="I9" s="1178"/>
      <c r="J9" s="1179"/>
      <c r="K9" s="1175" t="s">
        <v>685</v>
      </c>
      <c r="L9" s="1177" t="s">
        <v>687</v>
      </c>
      <c r="M9" s="1178"/>
      <c r="N9" s="1179"/>
      <c r="O9" s="1175" t="s">
        <v>685</v>
      </c>
      <c r="P9" s="1177" t="s">
        <v>687</v>
      </c>
      <c r="Q9" s="1178"/>
      <c r="R9" s="1179"/>
      <c r="S9" s="1175" t="s">
        <v>685</v>
      </c>
      <c r="T9" s="1177" t="s">
        <v>687</v>
      </c>
      <c r="U9" s="1178"/>
      <c r="V9" s="1179"/>
    </row>
    <row r="10" spans="1:24" s="76" customFormat="1" ht="46.5" customHeight="1" x14ac:dyDescent="0.25">
      <c r="A10" s="834"/>
      <c r="B10" s="1163"/>
      <c r="C10" s="1176"/>
      <c r="D10" s="70" t="s">
        <v>686</v>
      </c>
      <c r="E10" s="70" t="s">
        <v>198</v>
      </c>
      <c r="F10" s="70" t="s">
        <v>18</v>
      </c>
      <c r="G10" s="1176"/>
      <c r="H10" s="70" t="s">
        <v>686</v>
      </c>
      <c r="I10" s="70" t="s">
        <v>198</v>
      </c>
      <c r="J10" s="70" t="s">
        <v>18</v>
      </c>
      <c r="K10" s="1176"/>
      <c r="L10" s="70" t="s">
        <v>686</v>
      </c>
      <c r="M10" s="70" t="s">
        <v>198</v>
      </c>
      <c r="N10" s="70" t="s">
        <v>18</v>
      </c>
      <c r="O10" s="1176"/>
      <c r="P10" s="70" t="s">
        <v>686</v>
      </c>
      <c r="Q10" s="70" t="s">
        <v>198</v>
      </c>
      <c r="R10" s="70" t="s">
        <v>18</v>
      </c>
      <c r="S10" s="1176"/>
      <c r="T10" s="70" t="s">
        <v>686</v>
      </c>
      <c r="U10" s="70" t="s">
        <v>198</v>
      </c>
      <c r="V10" s="70" t="s">
        <v>18</v>
      </c>
    </row>
    <row r="11" spans="1:24" s="134" customFormat="1" ht="16.149999999999999" customHeight="1" x14ac:dyDescent="0.25">
      <c r="A11" s="239">
        <v>1</v>
      </c>
      <c r="B11" s="133">
        <v>2</v>
      </c>
      <c r="C11" s="133">
        <v>3</v>
      </c>
      <c r="D11" s="239">
        <v>4</v>
      </c>
      <c r="E11" s="133">
        <v>5</v>
      </c>
      <c r="F11" s="133">
        <v>6</v>
      </c>
      <c r="G11" s="239">
        <v>7</v>
      </c>
      <c r="H11" s="133">
        <v>8</v>
      </c>
      <c r="I11" s="133">
        <v>9</v>
      </c>
      <c r="J11" s="239">
        <v>10</v>
      </c>
      <c r="K11" s="133">
        <v>11</v>
      </c>
      <c r="L11" s="133">
        <v>12</v>
      </c>
      <c r="M11" s="239">
        <v>13</v>
      </c>
      <c r="N11" s="133">
        <v>14</v>
      </c>
      <c r="O11" s="133">
        <v>15</v>
      </c>
      <c r="P11" s="239">
        <v>16</v>
      </c>
      <c r="Q11" s="133">
        <v>17</v>
      </c>
      <c r="R11" s="133">
        <v>18</v>
      </c>
      <c r="S11" s="239">
        <v>19</v>
      </c>
      <c r="T11" s="133">
        <v>20</v>
      </c>
      <c r="U11" s="133">
        <v>21</v>
      </c>
      <c r="V11" s="239">
        <v>22</v>
      </c>
    </row>
    <row r="12" spans="1:24" s="46" customFormat="1" ht="15" customHeight="1" x14ac:dyDescent="0.25">
      <c r="A12" s="272">
        <v>1</v>
      </c>
      <c r="B12" s="273" t="s">
        <v>896</v>
      </c>
      <c r="C12" s="420">
        <v>734</v>
      </c>
      <c r="D12" s="421">
        <f>C12*6000/100000</f>
        <v>44.04</v>
      </c>
      <c r="E12" s="421">
        <f>C12*4000/100000</f>
        <v>29.36</v>
      </c>
      <c r="F12" s="421">
        <f>SUM(D12:E12)</f>
        <v>73.400000000000006</v>
      </c>
      <c r="G12" s="420">
        <v>747</v>
      </c>
      <c r="H12" s="421">
        <f>G12*9000/100000</f>
        <v>67.23</v>
      </c>
      <c r="I12" s="421">
        <f>G12*6000/100000</f>
        <v>44.82</v>
      </c>
      <c r="J12" s="421">
        <f>SUM(H12:I12)</f>
        <v>112.05000000000001</v>
      </c>
      <c r="K12" s="420">
        <v>263</v>
      </c>
      <c r="L12" s="421">
        <f>K12*12000/100000</f>
        <v>31.56</v>
      </c>
      <c r="M12" s="421">
        <f>K12*8000/100000</f>
        <v>21.04</v>
      </c>
      <c r="N12" s="421">
        <f>SUM(L12:M12)</f>
        <v>52.599999999999994</v>
      </c>
      <c r="O12" s="420">
        <v>241</v>
      </c>
      <c r="P12" s="421">
        <f>O12*15000/100000</f>
        <v>36.15</v>
      </c>
      <c r="Q12" s="421">
        <f>O12*10000/100000</f>
        <v>24.1</v>
      </c>
      <c r="R12" s="421">
        <f>SUM(P12:Q12)</f>
        <v>60.25</v>
      </c>
      <c r="S12" s="422">
        <f>C12+G12+K12+O12</f>
        <v>1985</v>
      </c>
      <c r="T12" s="421">
        <f>D12+H12+L12+P12</f>
        <v>178.98000000000002</v>
      </c>
      <c r="U12" s="421">
        <f>E12+I12+M12+Q12</f>
        <v>119.32</v>
      </c>
      <c r="V12" s="421">
        <f>T12+U12</f>
        <v>298.3</v>
      </c>
    </row>
    <row r="13" spans="1:24" s="46" customFormat="1" ht="15" customHeight="1" x14ac:dyDescent="0.25">
      <c r="A13" s="272">
        <v>2</v>
      </c>
      <c r="B13" s="273" t="s">
        <v>897</v>
      </c>
      <c r="C13" s="420">
        <v>221</v>
      </c>
      <c r="D13" s="421">
        <f t="shared" ref="D13:D35" si="0">C13*6000/100000</f>
        <v>13.26</v>
      </c>
      <c r="E13" s="421">
        <f t="shared" ref="E13:E35" si="1">C13*4000/100000</f>
        <v>8.84</v>
      </c>
      <c r="F13" s="421">
        <f t="shared" ref="F13:F35" si="2">SUM(D13:E13)</f>
        <v>22.1</v>
      </c>
      <c r="G13" s="420">
        <v>340</v>
      </c>
      <c r="H13" s="421">
        <f t="shared" ref="H13:H35" si="3">G13*9000/100000</f>
        <v>30.6</v>
      </c>
      <c r="I13" s="421">
        <f t="shared" ref="I13:I35" si="4">G13*6000/100000</f>
        <v>20.399999999999999</v>
      </c>
      <c r="J13" s="421">
        <f t="shared" ref="J13:J35" si="5">SUM(H13:I13)</f>
        <v>51</v>
      </c>
      <c r="K13" s="420">
        <v>98</v>
      </c>
      <c r="L13" s="421">
        <f t="shared" ref="L13:L35" si="6">K13*12000/100000</f>
        <v>11.76</v>
      </c>
      <c r="M13" s="421">
        <f t="shared" ref="M13:M35" si="7">K13*8000/100000</f>
        <v>7.84</v>
      </c>
      <c r="N13" s="421">
        <f t="shared" ref="N13:N35" si="8">SUM(L13:M13)</f>
        <v>19.600000000000001</v>
      </c>
      <c r="O13" s="420">
        <v>18</v>
      </c>
      <c r="P13" s="421">
        <f t="shared" ref="P13:P35" si="9">O13*15000/100000</f>
        <v>2.7</v>
      </c>
      <c r="Q13" s="421">
        <f t="shared" ref="Q13:Q35" si="10">O13*10000/100000</f>
        <v>1.8</v>
      </c>
      <c r="R13" s="421">
        <f t="shared" ref="R13:R35" si="11">SUM(P13:Q13)</f>
        <v>4.5</v>
      </c>
      <c r="S13" s="422">
        <f t="shared" ref="S13:S35" si="12">C13+G13+K13+O13</f>
        <v>677</v>
      </c>
      <c r="T13" s="421">
        <f t="shared" ref="T13:T35" si="13">D13+H13+L13+P13</f>
        <v>58.32</v>
      </c>
      <c r="U13" s="421">
        <f t="shared" ref="U13:U35" si="14">E13+I13+M13+Q13</f>
        <v>38.879999999999995</v>
      </c>
      <c r="V13" s="421">
        <f t="shared" ref="V13:V35" si="15">T13+U13</f>
        <v>97.199999999999989</v>
      </c>
    </row>
    <row r="14" spans="1:24" s="46" customFormat="1" ht="15" customHeight="1" x14ac:dyDescent="0.25">
      <c r="A14" s="272">
        <v>3</v>
      </c>
      <c r="B14" s="273" t="s">
        <v>898</v>
      </c>
      <c r="C14" s="420">
        <v>35</v>
      </c>
      <c r="D14" s="421">
        <f t="shared" si="0"/>
        <v>2.1</v>
      </c>
      <c r="E14" s="421">
        <f t="shared" si="1"/>
        <v>1.4</v>
      </c>
      <c r="F14" s="421">
        <f t="shared" si="2"/>
        <v>3.5</v>
      </c>
      <c r="G14" s="420">
        <v>107</v>
      </c>
      <c r="H14" s="421">
        <f t="shared" si="3"/>
        <v>9.6300000000000008</v>
      </c>
      <c r="I14" s="421">
        <f t="shared" si="4"/>
        <v>6.42</v>
      </c>
      <c r="J14" s="421">
        <f t="shared" si="5"/>
        <v>16.05</v>
      </c>
      <c r="K14" s="420">
        <v>73</v>
      </c>
      <c r="L14" s="421">
        <f t="shared" si="6"/>
        <v>8.76</v>
      </c>
      <c r="M14" s="421">
        <f t="shared" si="7"/>
        <v>5.84</v>
      </c>
      <c r="N14" s="421">
        <f t="shared" si="8"/>
        <v>14.6</v>
      </c>
      <c r="O14" s="420">
        <v>83</v>
      </c>
      <c r="P14" s="421">
        <f t="shared" si="9"/>
        <v>12.45</v>
      </c>
      <c r="Q14" s="421">
        <f t="shared" si="10"/>
        <v>8.3000000000000007</v>
      </c>
      <c r="R14" s="421">
        <f t="shared" si="11"/>
        <v>20.75</v>
      </c>
      <c r="S14" s="422">
        <f t="shared" si="12"/>
        <v>298</v>
      </c>
      <c r="T14" s="421">
        <f t="shared" si="13"/>
        <v>32.94</v>
      </c>
      <c r="U14" s="421">
        <f t="shared" si="14"/>
        <v>21.96</v>
      </c>
      <c r="V14" s="421">
        <f t="shared" si="15"/>
        <v>54.9</v>
      </c>
    </row>
    <row r="15" spans="1:24" s="46" customFormat="1" ht="15" customHeight="1" x14ac:dyDescent="0.25">
      <c r="A15" s="272">
        <v>4</v>
      </c>
      <c r="B15" s="273" t="s">
        <v>899</v>
      </c>
      <c r="C15" s="420">
        <v>328</v>
      </c>
      <c r="D15" s="421">
        <f t="shared" si="0"/>
        <v>19.68</v>
      </c>
      <c r="E15" s="421">
        <f t="shared" si="1"/>
        <v>13.12</v>
      </c>
      <c r="F15" s="421">
        <f t="shared" si="2"/>
        <v>32.799999999999997</v>
      </c>
      <c r="G15" s="420">
        <v>538</v>
      </c>
      <c r="H15" s="421">
        <f t="shared" si="3"/>
        <v>48.42</v>
      </c>
      <c r="I15" s="421">
        <f t="shared" si="4"/>
        <v>32.28</v>
      </c>
      <c r="J15" s="421">
        <f t="shared" si="5"/>
        <v>80.7</v>
      </c>
      <c r="K15" s="420">
        <v>316</v>
      </c>
      <c r="L15" s="421">
        <f t="shared" si="6"/>
        <v>37.92</v>
      </c>
      <c r="M15" s="421">
        <f t="shared" si="7"/>
        <v>25.28</v>
      </c>
      <c r="N15" s="421">
        <f t="shared" si="8"/>
        <v>63.2</v>
      </c>
      <c r="O15" s="420">
        <v>145</v>
      </c>
      <c r="P15" s="421">
        <f t="shared" si="9"/>
        <v>21.75</v>
      </c>
      <c r="Q15" s="421">
        <f t="shared" si="10"/>
        <v>14.5</v>
      </c>
      <c r="R15" s="421">
        <f t="shared" si="11"/>
        <v>36.25</v>
      </c>
      <c r="S15" s="422">
        <f t="shared" si="12"/>
        <v>1327</v>
      </c>
      <c r="T15" s="421">
        <f t="shared" si="13"/>
        <v>127.77</v>
      </c>
      <c r="U15" s="421">
        <f t="shared" si="14"/>
        <v>85.18</v>
      </c>
      <c r="V15" s="421">
        <f t="shared" si="15"/>
        <v>212.95</v>
      </c>
    </row>
    <row r="16" spans="1:24" s="46" customFormat="1" ht="15" customHeight="1" x14ac:dyDescent="0.25">
      <c r="A16" s="272">
        <v>5</v>
      </c>
      <c r="B16" s="273" t="s">
        <v>900</v>
      </c>
      <c r="C16" s="420">
        <v>245</v>
      </c>
      <c r="D16" s="421">
        <f t="shared" si="0"/>
        <v>14.7</v>
      </c>
      <c r="E16" s="421">
        <f t="shared" si="1"/>
        <v>9.8000000000000007</v>
      </c>
      <c r="F16" s="421">
        <f t="shared" si="2"/>
        <v>24.5</v>
      </c>
      <c r="G16" s="420">
        <v>366</v>
      </c>
      <c r="H16" s="421">
        <f t="shared" si="3"/>
        <v>32.94</v>
      </c>
      <c r="I16" s="421">
        <f t="shared" si="4"/>
        <v>21.96</v>
      </c>
      <c r="J16" s="421">
        <f t="shared" si="5"/>
        <v>54.9</v>
      </c>
      <c r="K16" s="420">
        <v>90</v>
      </c>
      <c r="L16" s="421">
        <f t="shared" si="6"/>
        <v>10.8</v>
      </c>
      <c r="M16" s="421">
        <f t="shared" si="7"/>
        <v>7.2</v>
      </c>
      <c r="N16" s="421">
        <f t="shared" si="8"/>
        <v>18</v>
      </c>
      <c r="O16" s="420">
        <v>75</v>
      </c>
      <c r="P16" s="421">
        <f t="shared" si="9"/>
        <v>11.25</v>
      </c>
      <c r="Q16" s="421">
        <f t="shared" si="10"/>
        <v>7.5</v>
      </c>
      <c r="R16" s="421">
        <f t="shared" si="11"/>
        <v>18.75</v>
      </c>
      <c r="S16" s="422">
        <f t="shared" si="12"/>
        <v>776</v>
      </c>
      <c r="T16" s="421">
        <f t="shared" si="13"/>
        <v>69.69</v>
      </c>
      <c r="U16" s="421">
        <f t="shared" si="14"/>
        <v>46.46</v>
      </c>
      <c r="V16" s="421">
        <f t="shared" si="15"/>
        <v>116.15</v>
      </c>
    </row>
    <row r="17" spans="1:22" s="46" customFormat="1" ht="15" customHeight="1" x14ac:dyDescent="0.25">
      <c r="A17" s="272">
        <v>6</v>
      </c>
      <c r="B17" s="273" t="s">
        <v>901</v>
      </c>
      <c r="C17" s="420">
        <v>473</v>
      </c>
      <c r="D17" s="421">
        <f t="shared" si="0"/>
        <v>28.38</v>
      </c>
      <c r="E17" s="421">
        <f t="shared" si="1"/>
        <v>18.920000000000002</v>
      </c>
      <c r="F17" s="421">
        <f t="shared" si="2"/>
        <v>47.3</v>
      </c>
      <c r="G17" s="420">
        <v>571</v>
      </c>
      <c r="H17" s="421">
        <f t="shared" si="3"/>
        <v>51.39</v>
      </c>
      <c r="I17" s="421">
        <f t="shared" si="4"/>
        <v>34.26</v>
      </c>
      <c r="J17" s="421">
        <f t="shared" si="5"/>
        <v>85.65</v>
      </c>
      <c r="K17" s="420">
        <v>236</v>
      </c>
      <c r="L17" s="421">
        <f t="shared" si="6"/>
        <v>28.32</v>
      </c>
      <c r="M17" s="421">
        <f t="shared" si="7"/>
        <v>18.88</v>
      </c>
      <c r="N17" s="421">
        <f t="shared" si="8"/>
        <v>47.2</v>
      </c>
      <c r="O17" s="420">
        <v>148</v>
      </c>
      <c r="P17" s="421">
        <f t="shared" si="9"/>
        <v>22.2</v>
      </c>
      <c r="Q17" s="421">
        <f t="shared" si="10"/>
        <v>14.8</v>
      </c>
      <c r="R17" s="421">
        <f t="shared" si="11"/>
        <v>37</v>
      </c>
      <c r="S17" s="422">
        <f t="shared" si="12"/>
        <v>1428</v>
      </c>
      <c r="T17" s="421">
        <f t="shared" si="13"/>
        <v>130.29</v>
      </c>
      <c r="U17" s="421">
        <f t="shared" si="14"/>
        <v>86.86</v>
      </c>
      <c r="V17" s="421">
        <f t="shared" si="15"/>
        <v>217.14999999999998</v>
      </c>
    </row>
    <row r="18" spans="1:22" s="46" customFormat="1" ht="15" customHeight="1" x14ac:dyDescent="0.25">
      <c r="A18" s="272">
        <v>7</v>
      </c>
      <c r="B18" s="273" t="s">
        <v>902</v>
      </c>
      <c r="C18" s="420">
        <v>445</v>
      </c>
      <c r="D18" s="421">
        <f t="shared" si="0"/>
        <v>26.7</v>
      </c>
      <c r="E18" s="421">
        <f t="shared" si="1"/>
        <v>17.8</v>
      </c>
      <c r="F18" s="421">
        <f t="shared" si="2"/>
        <v>44.5</v>
      </c>
      <c r="G18" s="420">
        <v>596</v>
      </c>
      <c r="H18" s="421">
        <f t="shared" si="3"/>
        <v>53.64</v>
      </c>
      <c r="I18" s="421">
        <f t="shared" si="4"/>
        <v>35.76</v>
      </c>
      <c r="J18" s="421">
        <f t="shared" si="5"/>
        <v>89.4</v>
      </c>
      <c r="K18" s="420">
        <v>145</v>
      </c>
      <c r="L18" s="421">
        <f t="shared" si="6"/>
        <v>17.399999999999999</v>
      </c>
      <c r="M18" s="421">
        <f t="shared" si="7"/>
        <v>11.6</v>
      </c>
      <c r="N18" s="421">
        <f t="shared" si="8"/>
        <v>29</v>
      </c>
      <c r="O18" s="420">
        <v>3</v>
      </c>
      <c r="P18" s="421">
        <f t="shared" si="9"/>
        <v>0.45</v>
      </c>
      <c r="Q18" s="421">
        <f t="shared" si="10"/>
        <v>0.3</v>
      </c>
      <c r="R18" s="421">
        <f t="shared" si="11"/>
        <v>0.75</v>
      </c>
      <c r="S18" s="422">
        <f t="shared" si="12"/>
        <v>1189</v>
      </c>
      <c r="T18" s="421">
        <f t="shared" si="13"/>
        <v>98.190000000000012</v>
      </c>
      <c r="U18" s="421">
        <f t="shared" si="14"/>
        <v>65.459999999999994</v>
      </c>
      <c r="V18" s="421">
        <f t="shared" si="15"/>
        <v>163.65</v>
      </c>
    </row>
    <row r="19" spans="1:22" s="46" customFormat="1" ht="15" customHeight="1" x14ac:dyDescent="0.25">
      <c r="A19" s="272">
        <v>8</v>
      </c>
      <c r="B19" s="273" t="s">
        <v>903</v>
      </c>
      <c r="C19" s="420">
        <v>273</v>
      </c>
      <c r="D19" s="421">
        <f t="shared" si="0"/>
        <v>16.38</v>
      </c>
      <c r="E19" s="421">
        <f t="shared" si="1"/>
        <v>10.92</v>
      </c>
      <c r="F19" s="421">
        <f t="shared" si="2"/>
        <v>27.299999999999997</v>
      </c>
      <c r="G19" s="420">
        <v>1066</v>
      </c>
      <c r="H19" s="421">
        <f t="shared" si="3"/>
        <v>95.94</v>
      </c>
      <c r="I19" s="421">
        <f t="shared" si="4"/>
        <v>63.96</v>
      </c>
      <c r="J19" s="421">
        <f t="shared" si="5"/>
        <v>159.9</v>
      </c>
      <c r="K19" s="420">
        <v>268</v>
      </c>
      <c r="L19" s="421">
        <f t="shared" si="6"/>
        <v>32.159999999999997</v>
      </c>
      <c r="M19" s="421">
        <f t="shared" si="7"/>
        <v>21.44</v>
      </c>
      <c r="N19" s="421">
        <f t="shared" si="8"/>
        <v>53.599999999999994</v>
      </c>
      <c r="O19" s="420">
        <v>267</v>
      </c>
      <c r="P19" s="421">
        <f t="shared" si="9"/>
        <v>40.049999999999997</v>
      </c>
      <c r="Q19" s="421">
        <f t="shared" si="10"/>
        <v>26.7</v>
      </c>
      <c r="R19" s="421">
        <f t="shared" si="11"/>
        <v>66.75</v>
      </c>
      <c r="S19" s="422">
        <f t="shared" si="12"/>
        <v>1874</v>
      </c>
      <c r="T19" s="421">
        <f t="shared" si="13"/>
        <v>184.52999999999997</v>
      </c>
      <c r="U19" s="421">
        <f t="shared" si="14"/>
        <v>123.02</v>
      </c>
      <c r="V19" s="421">
        <f t="shared" si="15"/>
        <v>307.54999999999995</v>
      </c>
    </row>
    <row r="20" spans="1:22" s="46" customFormat="1" ht="15" customHeight="1" x14ac:dyDescent="0.25">
      <c r="A20" s="272">
        <v>9</v>
      </c>
      <c r="B20" s="273" t="s">
        <v>904</v>
      </c>
      <c r="C20" s="420">
        <v>663</v>
      </c>
      <c r="D20" s="421">
        <f t="shared" si="0"/>
        <v>39.78</v>
      </c>
      <c r="E20" s="421">
        <f t="shared" si="1"/>
        <v>26.52</v>
      </c>
      <c r="F20" s="421">
        <f t="shared" si="2"/>
        <v>66.3</v>
      </c>
      <c r="G20" s="420">
        <v>1261</v>
      </c>
      <c r="H20" s="421">
        <f t="shared" si="3"/>
        <v>113.49</v>
      </c>
      <c r="I20" s="421">
        <f t="shared" si="4"/>
        <v>75.66</v>
      </c>
      <c r="J20" s="421">
        <f t="shared" si="5"/>
        <v>189.14999999999998</v>
      </c>
      <c r="K20" s="420">
        <v>354</v>
      </c>
      <c r="L20" s="421">
        <f t="shared" si="6"/>
        <v>42.48</v>
      </c>
      <c r="M20" s="421">
        <f t="shared" si="7"/>
        <v>28.32</v>
      </c>
      <c r="N20" s="421">
        <f t="shared" si="8"/>
        <v>70.8</v>
      </c>
      <c r="O20" s="423">
        <v>29</v>
      </c>
      <c r="P20" s="421">
        <f t="shared" si="9"/>
        <v>4.3499999999999996</v>
      </c>
      <c r="Q20" s="421">
        <f t="shared" si="10"/>
        <v>2.9</v>
      </c>
      <c r="R20" s="421">
        <f t="shared" si="11"/>
        <v>7.25</v>
      </c>
      <c r="S20" s="422">
        <f t="shared" si="12"/>
        <v>2307</v>
      </c>
      <c r="T20" s="421">
        <f t="shared" si="13"/>
        <v>200.09999999999997</v>
      </c>
      <c r="U20" s="421">
        <f t="shared" si="14"/>
        <v>133.4</v>
      </c>
      <c r="V20" s="421">
        <f t="shared" si="15"/>
        <v>333.5</v>
      </c>
    </row>
    <row r="21" spans="1:22" s="46" customFormat="1" ht="15" customHeight="1" x14ac:dyDescent="0.25">
      <c r="A21" s="272">
        <v>10</v>
      </c>
      <c r="B21" s="273" t="s">
        <v>905</v>
      </c>
      <c r="C21" s="420">
        <v>79</v>
      </c>
      <c r="D21" s="421">
        <f t="shared" si="0"/>
        <v>4.74</v>
      </c>
      <c r="E21" s="421">
        <f t="shared" si="1"/>
        <v>3.16</v>
      </c>
      <c r="F21" s="421">
        <f t="shared" si="2"/>
        <v>7.9</v>
      </c>
      <c r="G21" s="420">
        <v>466</v>
      </c>
      <c r="H21" s="421">
        <f t="shared" si="3"/>
        <v>41.94</v>
      </c>
      <c r="I21" s="421">
        <f t="shared" si="4"/>
        <v>27.96</v>
      </c>
      <c r="J21" s="421">
        <f t="shared" si="5"/>
        <v>69.900000000000006</v>
      </c>
      <c r="K21" s="420">
        <v>162</v>
      </c>
      <c r="L21" s="421">
        <f t="shared" si="6"/>
        <v>19.440000000000001</v>
      </c>
      <c r="M21" s="421">
        <f t="shared" si="7"/>
        <v>12.96</v>
      </c>
      <c r="N21" s="421">
        <f t="shared" si="8"/>
        <v>32.400000000000006</v>
      </c>
      <c r="O21" s="420">
        <v>138</v>
      </c>
      <c r="P21" s="421">
        <f t="shared" si="9"/>
        <v>20.7</v>
      </c>
      <c r="Q21" s="421">
        <f t="shared" si="10"/>
        <v>13.8</v>
      </c>
      <c r="R21" s="421">
        <f t="shared" si="11"/>
        <v>34.5</v>
      </c>
      <c r="S21" s="422">
        <f t="shared" si="12"/>
        <v>845</v>
      </c>
      <c r="T21" s="421">
        <f t="shared" si="13"/>
        <v>86.820000000000007</v>
      </c>
      <c r="U21" s="421">
        <f t="shared" si="14"/>
        <v>57.879999999999995</v>
      </c>
      <c r="V21" s="421">
        <f t="shared" si="15"/>
        <v>144.69999999999999</v>
      </c>
    </row>
    <row r="22" spans="1:22" s="46" customFormat="1" ht="15" customHeight="1" x14ac:dyDescent="0.25">
      <c r="A22" s="272">
        <v>11</v>
      </c>
      <c r="B22" s="273" t="s">
        <v>906</v>
      </c>
      <c r="C22" s="420">
        <v>34</v>
      </c>
      <c r="D22" s="421">
        <f t="shared" si="0"/>
        <v>2.04</v>
      </c>
      <c r="E22" s="421">
        <f t="shared" si="1"/>
        <v>1.36</v>
      </c>
      <c r="F22" s="421">
        <f t="shared" si="2"/>
        <v>3.4000000000000004</v>
      </c>
      <c r="G22" s="420">
        <v>676</v>
      </c>
      <c r="H22" s="421">
        <f t="shared" si="3"/>
        <v>60.84</v>
      </c>
      <c r="I22" s="421">
        <f t="shared" si="4"/>
        <v>40.56</v>
      </c>
      <c r="J22" s="421">
        <f t="shared" si="5"/>
        <v>101.4</v>
      </c>
      <c r="K22" s="420">
        <v>213</v>
      </c>
      <c r="L22" s="421">
        <f t="shared" si="6"/>
        <v>25.56</v>
      </c>
      <c r="M22" s="421">
        <f t="shared" si="7"/>
        <v>17.04</v>
      </c>
      <c r="N22" s="421">
        <f t="shared" si="8"/>
        <v>42.599999999999994</v>
      </c>
      <c r="O22" s="420">
        <v>305</v>
      </c>
      <c r="P22" s="421">
        <f t="shared" si="9"/>
        <v>45.75</v>
      </c>
      <c r="Q22" s="421">
        <f t="shared" si="10"/>
        <v>30.5</v>
      </c>
      <c r="R22" s="421">
        <f t="shared" si="11"/>
        <v>76.25</v>
      </c>
      <c r="S22" s="422">
        <f t="shared" si="12"/>
        <v>1228</v>
      </c>
      <c r="T22" s="421">
        <f t="shared" si="13"/>
        <v>134.19</v>
      </c>
      <c r="U22" s="421">
        <f t="shared" si="14"/>
        <v>89.460000000000008</v>
      </c>
      <c r="V22" s="421">
        <f t="shared" si="15"/>
        <v>223.65</v>
      </c>
    </row>
    <row r="23" spans="1:22" s="46" customFormat="1" ht="15" customHeight="1" x14ac:dyDescent="0.25">
      <c r="A23" s="272">
        <v>12</v>
      </c>
      <c r="B23" s="273" t="s">
        <v>907</v>
      </c>
      <c r="C23" s="420">
        <v>179</v>
      </c>
      <c r="D23" s="421">
        <f t="shared" si="0"/>
        <v>10.74</v>
      </c>
      <c r="E23" s="421">
        <f t="shared" si="1"/>
        <v>7.16</v>
      </c>
      <c r="F23" s="421">
        <f t="shared" si="2"/>
        <v>17.899999999999999</v>
      </c>
      <c r="G23" s="420">
        <v>679</v>
      </c>
      <c r="H23" s="421">
        <f t="shared" si="3"/>
        <v>61.11</v>
      </c>
      <c r="I23" s="421">
        <f t="shared" si="4"/>
        <v>40.74</v>
      </c>
      <c r="J23" s="421">
        <f t="shared" si="5"/>
        <v>101.85</v>
      </c>
      <c r="K23" s="420">
        <v>240</v>
      </c>
      <c r="L23" s="421">
        <f t="shared" si="6"/>
        <v>28.8</v>
      </c>
      <c r="M23" s="421">
        <f t="shared" si="7"/>
        <v>19.2</v>
      </c>
      <c r="N23" s="421">
        <f t="shared" si="8"/>
        <v>48</v>
      </c>
      <c r="O23" s="423">
        <v>189</v>
      </c>
      <c r="P23" s="421">
        <f t="shared" si="9"/>
        <v>28.35</v>
      </c>
      <c r="Q23" s="421">
        <f t="shared" si="10"/>
        <v>18.899999999999999</v>
      </c>
      <c r="R23" s="421">
        <f t="shared" si="11"/>
        <v>47.25</v>
      </c>
      <c r="S23" s="422">
        <f t="shared" si="12"/>
        <v>1287</v>
      </c>
      <c r="T23" s="421">
        <f t="shared" si="13"/>
        <v>129</v>
      </c>
      <c r="U23" s="421">
        <f t="shared" si="14"/>
        <v>86</v>
      </c>
      <c r="V23" s="421">
        <f t="shared" si="15"/>
        <v>215</v>
      </c>
    </row>
    <row r="24" spans="1:22" s="46" customFormat="1" ht="15" customHeight="1" x14ac:dyDescent="0.25">
      <c r="A24" s="272">
        <v>13</v>
      </c>
      <c r="B24" s="273" t="s">
        <v>908</v>
      </c>
      <c r="C24" s="420">
        <v>31</v>
      </c>
      <c r="D24" s="421">
        <f t="shared" si="0"/>
        <v>1.86</v>
      </c>
      <c r="E24" s="421">
        <f t="shared" si="1"/>
        <v>1.24</v>
      </c>
      <c r="F24" s="421">
        <f t="shared" si="2"/>
        <v>3.1</v>
      </c>
      <c r="G24" s="420">
        <v>172</v>
      </c>
      <c r="H24" s="421">
        <f t="shared" si="3"/>
        <v>15.48</v>
      </c>
      <c r="I24" s="421">
        <f t="shared" si="4"/>
        <v>10.32</v>
      </c>
      <c r="J24" s="421">
        <f t="shared" si="5"/>
        <v>25.8</v>
      </c>
      <c r="K24" s="420">
        <v>83</v>
      </c>
      <c r="L24" s="421">
        <f t="shared" si="6"/>
        <v>9.9600000000000009</v>
      </c>
      <c r="M24" s="421">
        <f t="shared" si="7"/>
        <v>6.64</v>
      </c>
      <c r="N24" s="421">
        <f t="shared" si="8"/>
        <v>16.600000000000001</v>
      </c>
      <c r="O24" s="420">
        <v>110</v>
      </c>
      <c r="P24" s="421">
        <f t="shared" si="9"/>
        <v>16.5</v>
      </c>
      <c r="Q24" s="421">
        <f t="shared" si="10"/>
        <v>11</v>
      </c>
      <c r="R24" s="421">
        <f t="shared" si="11"/>
        <v>27.5</v>
      </c>
      <c r="S24" s="422">
        <f t="shared" si="12"/>
        <v>396</v>
      </c>
      <c r="T24" s="421">
        <f t="shared" si="13"/>
        <v>43.8</v>
      </c>
      <c r="U24" s="421">
        <f t="shared" si="14"/>
        <v>29.2</v>
      </c>
      <c r="V24" s="421">
        <f t="shared" si="15"/>
        <v>73</v>
      </c>
    </row>
    <row r="25" spans="1:22" s="46" customFormat="1" ht="15" customHeight="1" x14ac:dyDescent="0.25">
      <c r="A25" s="272">
        <v>14</v>
      </c>
      <c r="B25" s="273" t="s">
        <v>909</v>
      </c>
      <c r="C25" s="420">
        <v>0</v>
      </c>
      <c r="D25" s="421">
        <f t="shared" si="0"/>
        <v>0</v>
      </c>
      <c r="E25" s="421">
        <f t="shared" si="1"/>
        <v>0</v>
      </c>
      <c r="F25" s="421">
        <f t="shared" si="2"/>
        <v>0</v>
      </c>
      <c r="G25" s="420">
        <v>219</v>
      </c>
      <c r="H25" s="421">
        <f t="shared" si="3"/>
        <v>19.71</v>
      </c>
      <c r="I25" s="421">
        <f t="shared" si="4"/>
        <v>13.14</v>
      </c>
      <c r="J25" s="421">
        <f t="shared" si="5"/>
        <v>32.85</v>
      </c>
      <c r="K25" s="420">
        <v>137</v>
      </c>
      <c r="L25" s="421">
        <f t="shared" si="6"/>
        <v>16.440000000000001</v>
      </c>
      <c r="M25" s="421">
        <f t="shared" si="7"/>
        <v>10.96</v>
      </c>
      <c r="N25" s="421">
        <f t="shared" si="8"/>
        <v>27.400000000000002</v>
      </c>
      <c r="O25" s="420">
        <v>111</v>
      </c>
      <c r="P25" s="421">
        <f t="shared" si="9"/>
        <v>16.649999999999999</v>
      </c>
      <c r="Q25" s="421">
        <f t="shared" si="10"/>
        <v>11.1</v>
      </c>
      <c r="R25" s="421">
        <f t="shared" si="11"/>
        <v>27.75</v>
      </c>
      <c r="S25" s="422">
        <f t="shared" si="12"/>
        <v>467</v>
      </c>
      <c r="T25" s="421">
        <f t="shared" si="13"/>
        <v>52.800000000000004</v>
      </c>
      <c r="U25" s="421">
        <f t="shared" si="14"/>
        <v>35.200000000000003</v>
      </c>
      <c r="V25" s="421">
        <f t="shared" si="15"/>
        <v>88</v>
      </c>
    </row>
    <row r="26" spans="1:22" s="46" customFormat="1" ht="15" customHeight="1" x14ac:dyDescent="0.25">
      <c r="A26" s="272">
        <v>15</v>
      </c>
      <c r="B26" s="273" t="s">
        <v>910</v>
      </c>
      <c r="C26" s="420">
        <v>112</v>
      </c>
      <c r="D26" s="421">
        <f t="shared" si="0"/>
        <v>6.72</v>
      </c>
      <c r="E26" s="421">
        <f t="shared" si="1"/>
        <v>4.4800000000000004</v>
      </c>
      <c r="F26" s="421">
        <f t="shared" si="2"/>
        <v>11.2</v>
      </c>
      <c r="G26" s="420">
        <v>989</v>
      </c>
      <c r="H26" s="421">
        <f t="shared" si="3"/>
        <v>89.01</v>
      </c>
      <c r="I26" s="421">
        <f t="shared" si="4"/>
        <v>59.34</v>
      </c>
      <c r="J26" s="421">
        <f t="shared" si="5"/>
        <v>148.35000000000002</v>
      </c>
      <c r="K26" s="420">
        <v>232</v>
      </c>
      <c r="L26" s="421">
        <f t="shared" si="6"/>
        <v>27.84</v>
      </c>
      <c r="M26" s="421">
        <f t="shared" si="7"/>
        <v>18.559999999999999</v>
      </c>
      <c r="N26" s="421">
        <f t="shared" si="8"/>
        <v>46.4</v>
      </c>
      <c r="O26" s="420">
        <v>14</v>
      </c>
      <c r="P26" s="421">
        <f t="shared" si="9"/>
        <v>2.1</v>
      </c>
      <c r="Q26" s="421">
        <f t="shared" si="10"/>
        <v>1.4</v>
      </c>
      <c r="R26" s="421">
        <f t="shared" si="11"/>
        <v>3.5</v>
      </c>
      <c r="S26" s="422">
        <f t="shared" si="12"/>
        <v>1347</v>
      </c>
      <c r="T26" s="421">
        <f t="shared" si="13"/>
        <v>125.67</v>
      </c>
      <c r="U26" s="421">
        <f t="shared" si="14"/>
        <v>83.780000000000015</v>
      </c>
      <c r="V26" s="421">
        <f t="shared" si="15"/>
        <v>209.45000000000002</v>
      </c>
    </row>
    <row r="27" spans="1:22" s="46" customFormat="1" ht="15" customHeight="1" x14ac:dyDescent="0.25">
      <c r="A27" s="272">
        <v>16</v>
      </c>
      <c r="B27" s="273" t="s">
        <v>911</v>
      </c>
      <c r="C27" s="420">
        <v>456</v>
      </c>
      <c r="D27" s="421">
        <f t="shared" si="0"/>
        <v>27.36</v>
      </c>
      <c r="E27" s="421">
        <f t="shared" si="1"/>
        <v>18.239999999999998</v>
      </c>
      <c r="F27" s="421">
        <f t="shared" si="2"/>
        <v>45.599999999999994</v>
      </c>
      <c r="G27" s="420">
        <v>1634</v>
      </c>
      <c r="H27" s="421">
        <f t="shared" si="3"/>
        <v>147.06</v>
      </c>
      <c r="I27" s="421">
        <f t="shared" si="4"/>
        <v>98.04</v>
      </c>
      <c r="J27" s="421">
        <f t="shared" si="5"/>
        <v>245.10000000000002</v>
      </c>
      <c r="K27" s="420">
        <v>544</v>
      </c>
      <c r="L27" s="421">
        <f t="shared" si="6"/>
        <v>65.28</v>
      </c>
      <c r="M27" s="421">
        <f t="shared" si="7"/>
        <v>43.52</v>
      </c>
      <c r="N27" s="421">
        <f t="shared" si="8"/>
        <v>108.80000000000001</v>
      </c>
      <c r="O27" s="420">
        <v>310</v>
      </c>
      <c r="P27" s="421">
        <f t="shared" si="9"/>
        <v>46.5</v>
      </c>
      <c r="Q27" s="421">
        <f t="shared" si="10"/>
        <v>31</v>
      </c>
      <c r="R27" s="421">
        <f t="shared" si="11"/>
        <v>77.5</v>
      </c>
      <c r="S27" s="422">
        <f t="shared" si="12"/>
        <v>2944</v>
      </c>
      <c r="T27" s="421">
        <f t="shared" si="13"/>
        <v>286.20000000000005</v>
      </c>
      <c r="U27" s="421">
        <f t="shared" si="14"/>
        <v>190.8</v>
      </c>
      <c r="V27" s="421">
        <f t="shared" si="15"/>
        <v>477.00000000000006</v>
      </c>
    </row>
    <row r="28" spans="1:22" s="46" customFormat="1" ht="16.5" customHeight="1" x14ac:dyDescent="0.25">
      <c r="A28" s="272">
        <v>17</v>
      </c>
      <c r="B28" s="273" t="s">
        <v>912</v>
      </c>
      <c r="C28" s="420">
        <v>37</v>
      </c>
      <c r="D28" s="421">
        <f t="shared" si="0"/>
        <v>2.2200000000000002</v>
      </c>
      <c r="E28" s="421">
        <f t="shared" si="1"/>
        <v>1.48</v>
      </c>
      <c r="F28" s="421">
        <f t="shared" si="2"/>
        <v>3.7</v>
      </c>
      <c r="G28" s="420">
        <v>228</v>
      </c>
      <c r="H28" s="421">
        <f t="shared" si="3"/>
        <v>20.52</v>
      </c>
      <c r="I28" s="421">
        <f t="shared" si="4"/>
        <v>13.68</v>
      </c>
      <c r="J28" s="421">
        <f t="shared" si="5"/>
        <v>34.200000000000003</v>
      </c>
      <c r="K28" s="420">
        <v>301</v>
      </c>
      <c r="L28" s="421">
        <f t="shared" si="6"/>
        <v>36.119999999999997</v>
      </c>
      <c r="M28" s="421">
        <f t="shared" si="7"/>
        <v>24.08</v>
      </c>
      <c r="N28" s="421">
        <f t="shared" si="8"/>
        <v>60.199999999999996</v>
      </c>
      <c r="O28" s="420">
        <v>266</v>
      </c>
      <c r="P28" s="421">
        <f t="shared" si="9"/>
        <v>39.9</v>
      </c>
      <c r="Q28" s="421">
        <f t="shared" si="10"/>
        <v>26.6</v>
      </c>
      <c r="R28" s="421">
        <f t="shared" si="11"/>
        <v>66.5</v>
      </c>
      <c r="S28" s="422">
        <f t="shared" si="12"/>
        <v>832</v>
      </c>
      <c r="T28" s="421">
        <f t="shared" si="13"/>
        <v>98.759999999999991</v>
      </c>
      <c r="U28" s="421">
        <f t="shared" si="14"/>
        <v>65.84</v>
      </c>
      <c r="V28" s="421">
        <f t="shared" si="15"/>
        <v>164.6</v>
      </c>
    </row>
    <row r="29" spans="1:22" s="46" customFormat="1" ht="15" customHeight="1" x14ac:dyDescent="0.25">
      <c r="A29" s="272">
        <v>18</v>
      </c>
      <c r="B29" s="273" t="s">
        <v>913</v>
      </c>
      <c r="C29" s="420">
        <v>426</v>
      </c>
      <c r="D29" s="421">
        <f t="shared" si="0"/>
        <v>25.56</v>
      </c>
      <c r="E29" s="421">
        <f t="shared" si="1"/>
        <v>17.04</v>
      </c>
      <c r="F29" s="421">
        <f t="shared" si="2"/>
        <v>42.599999999999994</v>
      </c>
      <c r="G29" s="420">
        <v>493</v>
      </c>
      <c r="H29" s="421">
        <f t="shared" si="3"/>
        <v>44.37</v>
      </c>
      <c r="I29" s="421">
        <f t="shared" si="4"/>
        <v>29.58</v>
      </c>
      <c r="J29" s="421">
        <f t="shared" si="5"/>
        <v>73.949999999999989</v>
      </c>
      <c r="K29" s="420">
        <v>204</v>
      </c>
      <c r="L29" s="421">
        <f t="shared" si="6"/>
        <v>24.48</v>
      </c>
      <c r="M29" s="421">
        <f t="shared" si="7"/>
        <v>16.32</v>
      </c>
      <c r="N29" s="421">
        <f t="shared" si="8"/>
        <v>40.799999999999997</v>
      </c>
      <c r="O29" s="420">
        <v>207</v>
      </c>
      <c r="P29" s="421">
        <f t="shared" si="9"/>
        <v>31.05</v>
      </c>
      <c r="Q29" s="421">
        <f t="shared" si="10"/>
        <v>20.7</v>
      </c>
      <c r="R29" s="421">
        <f t="shared" si="11"/>
        <v>51.75</v>
      </c>
      <c r="S29" s="422">
        <f t="shared" si="12"/>
        <v>1330</v>
      </c>
      <c r="T29" s="421">
        <f t="shared" si="13"/>
        <v>125.46</v>
      </c>
      <c r="U29" s="421">
        <f t="shared" si="14"/>
        <v>83.64</v>
      </c>
      <c r="V29" s="421">
        <f t="shared" si="15"/>
        <v>209.1</v>
      </c>
    </row>
    <row r="30" spans="1:22" s="46" customFormat="1" ht="15" customHeight="1" x14ac:dyDescent="0.25">
      <c r="A30" s="272">
        <v>19</v>
      </c>
      <c r="B30" s="273" t="s">
        <v>914</v>
      </c>
      <c r="C30" s="420">
        <v>835</v>
      </c>
      <c r="D30" s="421">
        <f t="shared" si="0"/>
        <v>50.1</v>
      </c>
      <c r="E30" s="421">
        <f t="shared" si="1"/>
        <v>33.4</v>
      </c>
      <c r="F30" s="421">
        <f t="shared" si="2"/>
        <v>83.5</v>
      </c>
      <c r="G30" s="420">
        <v>1068</v>
      </c>
      <c r="H30" s="421">
        <f t="shared" si="3"/>
        <v>96.12</v>
      </c>
      <c r="I30" s="421">
        <f t="shared" si="4"/>
        <v>64.08</v>
      </c>
      <c r="J30" s="421">
        <f t="shared" si="5"/>
        <v>160.19999999999999</v>
      </c>
      <c r="K30" s="420">
        <v>206</v>
      </c>
      <c r="L30" s="421">
        <f t="shared" si="6"/>
        <v>24.72</v>
      </c>
      <c r="M30" s="421">
        <f t="shared" si="7"/>
        <v>16.48</v>
      </c>
      <c r="N30" s="421">
        <f t="shared" si="8"/>
        <v>41.2</v>
      </c>
      <c r="O30" s="420">
        <v>13</v>
      </c>
      <c r="P30" s="421">
        <f t="shared" si="9"/>
        <v>1.95</v>
      </c>
      <c r="Q30" s="421">
        <f t="shared" si="10"/>
        <v>1.3</v>
      </c>
      <c r="R30" s="421">
        <f t="shared" si="11"/>
        <v>3.25</v>
      </c>
      <c r="S30" s="422">
        <f t="shared" si="12"/>
        <v>2122</v>
      </c>
      <c r="T30" s="421">
        <f t="shared" si="13"/>
        <v>172.89</v>
      </c>
      <c r="U30" s="421">
        <f t="shared" si="14"/>
        <v>115.25999999999999</v>
      </c>
      <c r="V30" s="421">
        <f t="shared" si="15"/>
        <v>288.14999999999998</v>
      </c>
    </row>
    <row r="31" spans="1:22" s="46" customFormat="1" ht="15" customHeight="1" x14ac:dyDescent="0.25">
      <c r="A31" s="272">
        <v>20</v>
      </c>
      <c r="B31" s="273" t="s">
        <v>915</v>
      </c>
      <c r="C31" s="420">
        <v>154</v>
      </c>
      <c r="D31" s="421">
        <f t="shared" si="0"/>
        <v>9.24</v>
      </c>
      <c r="E31" s="421">
        <f t="shared" si="1"/>
        <v>6.16</v>
      </c>
      <c r="F31" s="421">
        <f t="shared" si="2"/>
        <v>15.4</v>
      </c>
      <c r="G31" s="420">
        <v>423</v>
      </c>
      <c r="H31" s="421">
        <f t="shared" si="3"/>
        <v>38.07</v>
      </c>
      <c r="I31" s="421">
        <f t="shared" si="4"/>
        <v>25.38</v>
      </c>
      <c r="J31" s="421">
        <f t="shared" si="5"/>
        <v>63.45</v>
      </c>
      <c r="K31" s="420">
        <v>148</v>
      </c>
      <c r="L31" s="421">
        <f t="shared" si="6"/>
        <v>17.760000000000002</v>
      </c>
      <c r="M31" s="421">
        <f t="shared" si="7"/>
        <v>11.84</v>
      </c>
      <c r="N31" s="421">
        <f t="shared" si="8"/>
        <v>29.6</v>
      </c>
      <c r="O31" s="420">
        <v>98</v>
      </c>
      <c r="P31" s="421">
        <f t="shared" si="9"/>
        <v>14.7</v>
      </c>
      <c r="Q31" s="421">
        <f t="shared" si="10"/>
        <v>9.8000000000000007</v>
      </c>
      <c r="R31" s="421">
        <f t="shared" si="11"/>
        <v>24.5</v>
      </c>
      <c r="S31" s="422">
        <f t="shared" si="12"/>
        <v>823</v>
      </c>
      <c r="T31" s="421">
        <f t="shared" si="13"/>
        <v>79.77000000000001</v>
      </c>
      <c r="U31" s="421">
        <f t="shared" si="14"/>
        <v>53.179999999999993</v>
      </c>
      <c r="V31" s="421">
        <f t="shared" si="15"/>
        <v>132.94999999999999</v>
      </c>
    </row>
    <row r="32" spans="1:22" s="46" customFormat="1" ht="15" customHeight="1" x14ac:dyDescent="0.25">
      <c r="A32" s="272">
        <v>21</v>
      </c>
      <c r="B32" s="273" t="s">
        <v>916</v>
      </c>
      <c r="C32" s="420">
        <v>202</v>
      </c>
      <c r="D32" s="421">
        <f t="shared" si="0"/>
        <v>12.12</v>
      </c>
      <c r="E32" s="421">
        <f t="shared" si="1"/>
        <v>8.08</v>
      </c>
      <c r="F32" s="421">
        <f t="shared" si="2"/>
        <v>20.2</v>
      </c>
      <c r="G32" s="420">
        <v>584</v>
      </c>
      <c r="H32" s="421">
        <f t="shared" si="3"/>
        <v>52.56</v>
      </c>
      <c r="I32" s="421">
        <f t="shared" si="4"/>
        <v>35.04</v>
      </c>
      <c r="J32" s="421">
        <f t="shared" si="5"/>
        <v>87.6</v>
      </c>
      <c r="K32" s="420">
        <v>250</v>
      </c>
      <c r="L32" s="421">
        <f t="shared" si="6"/>
        <v>30</v>
      </c>
      <c r="M32" s="421">
        <f t="shared" si="7"/>
        <v>20</v>
      </c>
      <c r="N32" s="421">
        <f t="shared" si="8"/>
        <v>50</v>
      </c>
      <c r="O32" s="420">
        <v>58</v>
      </c>
      <c r="P32" s="421">
        <f t="shared" si="9"/>
        <v>8.6999999999999993</v>
      </c>
      <c r="Q32" s="421">
        <f t="shared" si="10"/>
        <v>5.8</v>
      </c>
      <c r="R32" s="421">
        <f t="shared" si="11"/>
        <v>14.5</v>
      </c>
      <c r="S32" s="422">
        <f t="shared" si="12"/>
        <v>1094</v>
      </c>
      <c r="T32" s="421">
        <f t="shared" si="13"/>
        <v>103.38000000000001</v>
      </c>
      <c r="U32" s="421">
        <f t="shared" si="14"/>
        <v>68.92</v>
      </c>
      <c r="V32" s="421">
        <f t="shared" si="15"/>
        <v>172.3</v>
      </c>
    </row>
    <row r="33" spans="1:22" s="46" customFormat="1" ht="15" customHeight="1" x14ac:dyDescent="0.25">
      <c r="A33" s="272">
        <v>22</v>
      </c>
      <c r="B33" s="273" t="s">
        <v>917</v>
      </c>
      <c r="C33" s="420">
        <v>78</v>
      </c>
      <c r="D33" s="421">
        <f t="shared" si="0"/>
        <v>4.68</v>
      </c>
      <c r="E33" s="421">
        <f t="shared" si="1"/>
        <v>3.12</v>
      </c>
      <c r="F33" s="421">
        <f t="shared" si="2"/>
        <v>7.8</v>
      </c>
      <c r="G33" s="420">
        <v>438</v>
      </c>
      <c r="H33" s="421">
        <f t="shared" si="3"/>
        <v>39.42</v>
      </c>
      <c r="I33" s="421">
        <f t="shared" si="4"/>
        <v>26.28</v>
      </c>
      <c r="J33" s="421">
        <f t="shared" si="5"/>
        <v>65.7</v>
      </c>
      <c r="K33" s="420">
        <v>148</v>
      </c>
      <c r="L33" s="421">
        <f t="shared" si="6"/>
        <v>17.760000000000002</v>
      </c>
      <c r="M33" s="421">
        <f t="shared" si="7"/>
        <v>11.84</v>
      </c>
      <c r="N33" s="421">
        <f t="shared" si="8"/>
        <v>29.6</v>
      </c>
      <c r="O33" s="420">
        <v>156</v>
      </c>
      <c r="P33" s="421">
        <f t="shared" si="9"/>
        <v>23.4</v>
      </c>
      <c r="Q33" s="421">
        <f t="shared" si="10"/>
        <v>15.6</v>
      </c>
      <c r="R33" s="421">
        <f t="shared" si="11"/>
        <v>39</v>
      </c>
      <c r="S33" s="422">
        <f t="shared" si="12"/>
        <v>820</v>
      </c>
      <c r="T33" s="421">
        <f t="shared" si="13"/>
        <v>85.259999999999991</v>
      </c>
      <c r="U33" s="421">
        <f t="shared" si="14"/>
        <v>56.84</v>
      </c>
      <c r="V33" s="421">
        <f t="shared" si="15"/>
        <v>142.1</v>
      </c>
    </row>
    <row r="34" spans="1:22" s="46" customFormat="1" ht="15" customHeight="1" x14ac:dyDescent="0.25">
      <c r="A34" s="272">
        <v>23</v>
      </c>
      <c r="B34" s="273" t="s">
        <v>918</v>
      </c>
      <c r="C34" s="420">
        <v>247</v>
      </c>
      <c r="D34" s="421">
        <f t="shared" si="0"/>
        <v>14.82</v>
      </c>
      <c r="E34" s="421">
        <f t="shared" si="1"/>
        <v>9.8800000000000008</v>
      </c>
      <c r="F34" s="421">
        <f t="shared" si="2"/>
        <v>24.700000000000003</v>
      </c>
      <c r="G34" s="420">
        <v>624</v>
      </c>
      <c r="H34" s="421">
        <f t="shared" si="3"/>
        <v>56.16</v>
      </c>
      <c r="I34" s="421">
        <f t="shared" si="4"/>
        <v>37.44</v>
      </c>
      <c r="J34" s="421">
        <f t="shared" si="5"/>
        <v>93.6</v>
      </c>
      <c r="K34" s="420">
        <v>252</v>
      </c>
      <c r="L34" s="421">
        <f t="shared" si="6"/>
        <v>30.24</v>
      </c>
      <c r="M34" s="421">
        <f t="shared" si="7"/>
        <v>20.16</v>
      </c>
      <c r="N34" s="421">
        <f t="shared" si="8"/>
        <v>50.4</v>
      </c>
      <c r="O34" s="420">
        <v>225</v>
      </c>
      <c r="P34" s="421">
        <f t="shared" si="9"/>
        <v>33.75</v>
      </c>
      <c r="Q34" s="421">
        <f t="shared" si="10"/>
        <v>22.5</v>
      </c>
      <c r="R34" s="421">
        <f t="shared" si="11"/>
        <v>56.25</v>
      </c>
      <c r="S34" s="422">
        <f t="shared" si="12"/>
        <v>1348</v>
      </c>
      <c r="T34" s="421">
        <f t="shared" si="13"/>
        <v>134.96999999999997</v>
      </c>
      <c r="U34" s="421">
        <f t="shared" si="14"/>
        <v>89.98</v>
      </c>
      <c r="V34" s="421">
        <f t="shared" si="15"/>
        <v>224.95</v>
      </c>
    </row>
    <row r="35" spans="1:22" s="46" customFormat="1" ht="15" customHeight="1" x14ac:dyDescent="0.25">
      <c r="A35" s="272">
        <v>24</v>
      </c>
      <c r="B35" s="274" t="s">
        <v>919</v>
      </c>
      <c r="C35" s="420">
        <v>786</v>
      </c>
      <c r="D35" s="421">
        <f t="shared" si="0"/>
        <v>47.16</v>
      </c>
      <c r="E35" s="421">
        <f t="shared" si="1"/>
        <v>31.44</v>
      </c>
      <c r="F35" s="421">
        <f t="shared" si="2"/>
        <v>78.599999999999994</v>
      </c>
      <c r="G35" s="420">
        <v>659</v>
      </c>
      <c r="H35" s="421">
        <f t="shared" si="3"/>
        <v>59.31</v>
      </c>
      <c r="I35" s="421">
        <f t="shared" si="4"/>
        <v>39.54</v>
      </c>
      <c r="J35" s="421">
        <f t="shared" si="5"/>
        <v>98.85</v>
      </c>
      <c r="K35" s="420">
        <v>221</v>
      </c>
      <c r="L35" s="421">
        <f t="shared" si="6"/>
        <v>26.52</v>
      </c>
      <c r="M35" s="421">
        <f t="shared" si="7"/>
        <v>17.68</v>
      </c>
      <c r="N35" s="421">
        <f t="shared" si="8"/>
        <v>44.2</v>
      </c>
      <c r="O35" s="420">
        <v>87</v>
      </c>
      <c r="P35" s="421">
        <f t="shared" si="9"/>
        <v>13.05</v>
      </c>
      <c r="Q35" s="421">
        <f t="shared" si="10"/>
        <v>8.6999999999999993</v>
      </c>
      <c r="R35" s="421">
        <f t="shared" si="11"/>
        <v>21.75</v>
      </c>
      <c r="S35" s="422">
        <f t="shared" si="12"/>
        <v>1753</v>
      </c>
      <c r="T35" s="421">
        <f t="shared" si="13"/>
        <v>146.04000000000002</v>
      </c>
      <c r="U35" s="421">
        <f t="shared" si="14"/>
        <v>97.36</v>
      </c>
      <c r="V35" s="421">
        <f t="shared" si="15"/>
        <v>243.40000000000003</v>
      </c>
    </row>
    <row r="36" spans="1:22" s="359" customFormat="1" x14ac:dyDescent="0.25">
      <c r="A36" s="1171" t="s">
        <v>18</v>
      </c>
      <c r="B36" s="1171"/>
      <c r="C36" s="424">
        <f t="shared" ref="C36:V36" si="16">SUM(C12:C35)</f>
        <v>7073</v>
      </c>
      <c r="D36" s="365">
        <f t="shared" si="16"/>
        <v>424.38000000000011</v>
      </c>
      <c r="E36" s="365">
        <f t="shared" si="16"/>
        <v>282.92</v>
      </c>
      <c r="F36" s="365">
        <f t="shared" si="16"/>
        <v>707.3</v>
      </c>
      <c r="G36" s="424">
        <f t="shared" si="16"/>
        <v>14944</v>
      </c>
      <c r="H36" s="365">
        <f t="shared" si="16"/>
        <v>1344.96</v>
      </c>
      <c r="I36" s="365">
        <f t="shared" si="16"/>
        <v>896.63999999999987</v>
      </c>
      <c r="J36" s="365">
        <f t="shared" si="16"/>
        <v>2241.5999999999995</v>
      </c>
      <c r="K36" s="424">
        <f t="shared" si="16"/>
        <v>5184</v>
      </c>
      <c r="L36" s="365">
        <f t="shared" si="16"/>
        <v>622.07999999999993</v>
      </c>
      <c r="M36" s="365">
        <f t="shared" si="16"/>
        <v>414.71999999999997</v>
      </c>
      <c r="N36" s="365">
        <f t="shared" si="16"/>
        <v>1036.8</v>
      </c>
      <c r="O36" s="424">
        <f t="shared" si="16"/>
        <v>3296</v>
      </c>
      <c r="P36" s="365">
        <f t="shared" si="16"/>
        <v>494.39999999999992</v>
      </c>
      <c r="Q36" s="365">
        <f t="shared" si="16"/>
        <v>329.6</v>
      </c>
      <c r="R36" s="365">
        <f t="shared" si="16"/>
        <v>824</v>
      </c>
      <c r="S36" s="424">
        <f t="shared" si="16"/>
        <v>30497</v>
      </c>
      <c r="T36" s="365">
        <f t="shared" si="16"/>
        <v>2885.8199999999993</v>
      </c>
      <c r="U36" s="365">
        <f t="shared" si="16"/>
        <v>1923.88</v>
      </c>
      <c r="V36" s="365">
        <f t="shared" si="16"/>
        <v>4809.6999999999989</v>
      </c>
    </row>
    <row r="37" spans="1:22" x14ac:dyDescent="0.25">
      <c r="T37" s="502"/>
      <c r="U37" s="502"/>
    </row>
    <row r="38" spans="1:22" x14ac:dyDescent="0.25">
      <c r="D38" s="359" t="s">
        <v>1043</v>
      </c>
    </row>
    <row r="39" spans="1:22" ht="18" x14ac:dyDescent="0.25">
      <c r="B39" s="681" t="s">
        <v>147</v>
      </c>
      <c r="C39" s="591"/>
      <c r="D39" s="610"/>
      <c r="E39" s="592"/>
      <c r="F39" s="593"/>
      <c r="G39" s="593"/>
      <c r="H39" s="593"/>
    </row>
    <row r="40" spans="1:22" ht="18" x14ac:dyDescent="0.25">
      <c r="B40" s="590"/>
      <c r="C40" s="591"/>
      <c r="D40" s="610"/>
      <c r="E40" s="593"/>
      <c r="F40" s="682"/>
      <c r="G40" s="682"/>
      <c r="S40" s="682"/>
      <c r="T40" s="682" t="s">
        <v>12</v>
      </c>
      <c r="U40" s="682"/>
    </row>
    <row r="41" spans="1:22" ht="18" x14ac:dyDescent="0.25">
      <c r="B41" s="590"/>
      <c r="C41" s="591"/>
      <c r="D41" s="610"/>
      <c r="E41" s="593"/>
      <c r="F41" s="680"/>
      <c r="G41" s="593"/>
      <c r="H41" s="593"/>
      <c r="S41" s="680" t="s">
        <v>13</v>
      </c>
      <c r="T41" s="593"/>
      <c r="U41" s="593"/>
      <c r="V41" s="593"/>
    </row>
    <row r="42" spans="1:22" x14ac:dyDescent="0.25">
      <c r="B42" s="574"/>
      <c r="C42" s="574"/>
      <c r="D42" s="574"/>
      <c r="E42" s="574"/>
      <c r="F42" s="680"/>
      <c r="G42" s="680"/>
      <c r="H42" s="680"/>
      <c r="S42" s="680" t="s">
        <v>87</v>
      </c>
      <c r="T42" s="680"/>
      <c r="U42" s="680"/>
      <c r="V42" s="680"/>
    </row>
    <row r="43" spans="1:22" x14ac:dyDescent="0.25">
      <c r="B43" s="574"/>
      <c r="C43" s="574"/>
      <c r="D43" s="574"/>
      <c r="E43" s="574"/>
      <c r="F43" s="580"/>
      <c r="G43" s="680"/>
      <c r="H43" s="680"/>
      <c r="S43" s="580" t="s">
        <v>703</v>
      </c>
      <c r="T43" s="680"/>
      <c r="U43" s="680"/>
      <c r="V43" s="680"/>
    </row>
  </sheetData>
  <mergeCells count="21">
    <mergeCell ref="U1:V1"/>
    <mergeCell ref="C8:F8"/>
    <mergeCell ref="D9:F9"/>
    <mergeCell ref="C9:C10"/>
    <mergeCell ref="G9:G10"/>
    <mergeCell ref="E2:P2"/>
    <mergeCell ref="C4:Q4"/>
    <mergeCell ref="O8:R8"/>
    <mergeCell ref="S8:V8"/>
    <mergeCell ref="S9:S10"/>
    <mergeCell ref="T9:V9"/>
    <mergeCell ref="A36:B36"/>
    <mergeCell ref="P9:R9"/>
    <mergeCell ref="H9:J9"/>
    <mergeCell ref="K9:K10"/>
    <mergeCell ref="O9:O10"/>
    <mergeCell ref="B8:B10"/>
    <mergeCell ref="G8:J8"/>
    <mergeCell ref="K8:N8"/>
    <mergeCell ref="A8:A10"/>
    <mergeCell ref="L9:N9"/>
  </mergeCells>
  <printOptions horizontalCentered="1"/>
  <pageMargins left="0.70866141732283472" right="0.21" top="0.23622047244094491" bottom="0" header="0.31496062992125984" footer="0.31496062992125984"/>
  <pageSetup paperSize="9" scale="6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topLeftCell="A4" zoomScaleSheetLayoutView="100" workbookViewId="0">
      <selection activeCell="E13" sqref="E13"/>
    </sheetView>
  </sheetViews>
  <sheetFormatPr defaultColWidth="8.85546875" defaultRowHeight="14.25" x14ac:dyDescent="0.2"/>
  <cols>
    <col min="1" max="1" width="8.140625" style="69" customWidth="1"/>
    <col min="2" max="2" width="18.85546875" style="69" bestFit="1" customWidth="1"/>
    <col min="3" max="3" width="12.140625" style="69" customWidth="1"/>
    <col min="4" max="4" width="11.7109375" style="69" customWidth="1"/>
    <col min="5" max="5" width="11.28515625" style="69" customWidth="1"/>
    <col min="6" max="6" width="17.140625" style="69" customWidth="1"/>
    <col min="7" max="7" width="15.140625" style="69" customWidth="1"/>
    <col min="8" max="8" width="14.42578125" style="69" customWidth="1"/>
    <col min="9" max="9" width="14.85546875" style="69" customWidth="1"/>
    <col min="10" max="10" width="15.28515625" style="69" customWidth="1"/>
    <col min="11" max="11" width="15" style="69" customWidth="1"/>
    <col min="12" max="12" width="16.85546875" style="69" customWidth="1"/>
    <col min="13" max="16384" width="8.85546875" style="69"/>
  </cols>
  <sheetData>
    <row r="1" spans="1:24" ht="15" x14ac:dyDescent="0.2">
      <c r="B1" s="15"/>
      <c r="C1" s="15"/>
      <c r="D1" s="15"/>
      <c r="E1" s="15"/>
      <c r="F1" s="1"/>
      <c r="G1" s="1"/>
      <c r="H1" s="15"/>
      <c r="J1" s="38"/>
      <c r="K1" s="978" t="s">
        <v>535</v>
      </c>
      <c r="L1" s="978"/>
    </row>
    <row r="2" spans="1:24" ht="15.75" x14ac:dyDescent="0.25">
      <c r="B2" s="850" t="s">
        <v>0</v>
      </c>
      <c r="C2" s="850"/>
      <c r="D2" s="850"/>
      <c r="E2" s="850"/>
      <c r="F2" s="850"/>
      <c r="G2" s="850"/>
      <c r="H2" s="850"/>
      <c r="I2" s="850"/>
      <c r="J2" s="850"/>
    </row>
    <row r="3" spans="1:24" ht="20.25" x14ac:dyDescent="0.3">
      <c r="B3" s="851" t="s">
        <v>740</v>
      </c>
      <c r="C3" s="851"/>
      <c r="D3" s="851"/>
      <c r="E3" s="851"/>
      <c r="F3" s="851"/>
      <c r="G3" s="851"/>
      <c r="H3" s="851"/>
      <c r="I3" s="851"/>
      <c r="J3" s="851"/>
    </row>
    <row r="4" spans="1:24" ht="20.25" x14ac:dyDescent="0.3">
      <c r="B4" s="111"/>
      <c r="C4" s="111"/>
      <c r="D4" s="111"/>
      <c r="E4" s="111"/>
      <c r="F4" s="111"/>
      <c r="G4" s="111"/>
      <c r="H4" s="111"/>
      <c r="I4" s="111"/>
      <c r="J4" s="111"/>
    </row>
    <row r="5" spans="1:24" ht="15.6" customHeight="1" x14ac:dyDescent="0.25">
      <c r="B5" s="1184" t="s">
        <v>757</v>
      </c>
      <c r="C5" s="1184"/>
      <c r="D5" s="1184"/>
      <c r="E5" s="1184"/>
      <c r="F5" s="1184"/>
      <c r="G5" s="1184"/>
      <c r="H5" s="1184"/>
      <c r="I5" s="1184"/>
      <c r="J5" s="1184"/>
      <c r="K5" s="1184"/>
      <c r="L5" s="1184"/>
    </row>
    <row r="6" spans="1:24" x14ac:dyDescent="0.2">
      <c r="A6" s="820" t="s">
        <v>920</v>
      </c>
      <c r="B6" s="820"/>
      <c r="C6" s="29"/>
    </row>
    <row r="7" spans="1:24" ht="15" customHeight="1" x14ac:dyDescent="0.25">
      <c r="A7" s="1185" t="s">
        <v>110</v>
      </c>
      <c r="B7" s="1163" t="s">
        <v>3</v>
      </c>
      <c r="C7" s="1182" t="s">
        <v>26</v>
      </c>
      <c r="D7" s="1182"/>
      <c r="E7" s="1182"/>
      <c r="F7" s="1182"/>
      <c r="G7" s="1182" t="s">
        <v>27</v>
      </c>
      <c r="H7" s="1182"/>
      <c r="I7" s="1182"/>
      <c r="J7" s="1182"/>
      <c r="K7" s="1163" t="s">
        <v>378</v>
      </c>
      <c r="L7" s="1163" t="s">
        <v>666</v>
      </c>
    </row>
    <row r="8" spans="1:24" ht="19.5" customHeight="1" x14ac:dyDescent="0.2">
      <c r="A8" s="1185"/>
      <c r="B8" s="1163"/>
      <c r="C8" s="1163" t="s">
        <v>236</v>
      </c>
      <c r="D8" s="1163" t="s">
        <v>434</v>
      </c>
      <c r="E8" s="1163" t="s">
        <v>98</v>
      </c>
      <c r="F8" s="1163"/>
      <c r="G8" s="1163" t="s">
        <v>236</v>
      </c>
      <c r="H8" s="1163" t="s">
        <v>434</v>
      </c>
      <c r="I8" s="1163" t="s">
        <v>98</v>
      </c>
      <c r="J8" s="1163"/>
      <c r="K8" s="1163"/>
      <c r="L8" s="1163"/>
    </row>
    <row r="9" spans="1:24" ht="65.25" customHeight="1" x14ac:dyDescent="0.2">
      <c r="A9" s="1185"/>
      <c r="B9" s="1163"/>
      <c r="C9" s="1163"/>
      <c r="D9" s="1163"/>
      <c r="E9" s="79" t="s">
        <v>888</v>
      </c>
      <c r="F9" s="79" t="s">
        <v>435</v>
      </c>
      <c r="G9" s="1163"/>
      <c r="H9" s="1163"/>
      <c r="I9" s="79" t="s">
        <v>888</v>
      </c>
      <c r="J9" s="79" t="s">
        <v>435</v>
      </c>
      <c r="K9" s="1163"/>
      <c r="L9" s="1163"/>
    </row>
    <row r="10" spans="1:24" x14ac:dyDescent="0.2">
      <c r="A10" s="425">
        <v>1</v>
      </c>
      <c r="B10" s="426">
        <v>2</v>
      </c>
      <c r="C10" s="425">
        <v>3</v>
      </c>
      <c r="D10" s="426">
        <v>4</v>
      </c>
      <c r="E10" s="425">
        <v>5</v>
      </c>
      <c r="F10" s="426">
        <v>6</v>
      </c>
      <c r="G10" s="425">
        <v>7</v>
      </c>
      <c r="H10" s="426">
        <v>8</v>
      </c>
      <c r="I10" s="425">
        <v>9</v>
      </c>
      <c r="J10" s="426">
        <v>10</v>
      </c>
      <c r="K10" s="425" t="s">
        <v>542</v>
      </c>
      <c r="L10" s="426">
        <v>12</v>
      </c>
    </row>
    <row r="11" spans="1:24" s="46" customFormat="1" ht="15" x14ac:dyDescent="0.2">
      <c r="A11" s="272">
        <v>1</v>
      </c>
      <c r="B11" s="273" t="s">
        <v>896</v>
      </c>
      <c r="C11" s="49">
        <f>'enrolment vs availed_PY'!G11</f>
        <v>154703</v>
      </c>
      <c r="D11" s="428">
        <v>3537</v>
      </c>
      <c r="E11" s="428">
        <f>D11</f>
        <v>3537</v>
      </c>
      <c r="F11" s="49">
        <v>0</v>
      </c>
      <c r="G11" s="49">
        <f>'enrolment vs availed_UPY'!G11</f>
        <v>80391</v>
      </c>
      <c r="H11" s="428">
        <v>1445</v>
      </c>
      <c r="I11" s="428">
        <f>H11</f>
        <v>1445</v>
      </c>
      <c r="J11" s="49">
        <v>0</v>
      </c>
      <c r="K11" s="428">
        <f>E11+F11+I11+J11</f>
        <v>4982</v>
      </c>
      <c r="L11" s="49">
        <v>0</v>
      </c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s="46" customFormat="1" ht="15" x14ac:dyDescent="0.2">
      <c r="A12" s="272">
        <v>2</v>
      </c>
      <c r="B12" s="273" t="s">
        <v>897</v>
      </c>
      <c r="C12" s="49">
        <f>'enrolment vs availed_PY'!G12</f>
        <v>53633</v>
      </c>
      <c r="D12" s="428">
        <v>1155</v>
      </c>
      <c r="E12" s="428">
        <f t="shared" ref="E12:E34" si="0">D12</f>
        <v>1155</v>
      </c>
      <c r="F12" s="49">
        <v>0</v>
      </c>
      <c r="G12" s="49">
        <f>'enrolment vs availed_UPY'!G12</f>
        <v>22978</v>
      </c>
      <c r="H12" s="428">
        <v>472</v>
      </c>
      <c r="I12" s="428">
        <f t="shared" ref="I12:I34" si="1">H12</f>
        <v>472</v>
      </c>
      <c r="J12" s="49">
        <v>0</v>
      </c>
      <c r="K12" s="428">
        <f t="shared" ref="K12:K34" si="2">E12+F12+I12+J12</f>
        <v>1627</v>
      </c>
      <c r="L12" s="49">
        <v>0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s="46" customFormat="1" ht="15" x14ac:dyDescent="0.2">
      <c r="A13" s="272">
        <v>3</v>
      </c>
      <c r="B13" s="273" t="s">
        <v>898</v>
      </c>
      <c r="C13" s="49">
        <f>'enrolment vs availed_PY'!G13</f>
        <v>43459</v>
      </c>
      <c r="D13" s="428">
        <v>856</v>
      </c>
      <c r="E13" s="428">
        <f t="shared" si="0"/>
        <v>856</v>
      </c>
      <c r="F13" s="49">
        <v>0</v>
      </c>
      <c r="G13" s="49">
        <f>'enrolment vs availed_UPY'!G13</f>
        <v>22056</v>
      </c>
      <c r="H13" s="428">
        <v>349</v>
      </c>
      <c r="I13" s="428">
        <f t="shared" si="1"/>
        <v>349</v>
      </c>
      <c r="J13" s="49">
        <v>0</v>
      </c>
      <c r="K13" s="428">
        <f t="shared" si="2"/>
        <v>1205</v>
      </c>
      <c r="L13" s="49">
        <v>0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s="46" customFormat="1" ht="15" x14ac:dyDescent="0.2">
      <c r="A14" s="272">
        <v>4</v>
      </c>
      <c r="B14" s="273" t="s">
        <v>899</v>
      </c>
      <c r="C14" s="49">
        <f>'enrolment vs availed_PY'!G14</f>
        <v>110837</v>
      </c>
      <c r="D14" s="428">
        <v>2617</v>
      </c>
      <c r="E14" s="428">
        <f t="shared" si="0"/>
        <v>2617</v>
      </c>
      <c r="F14" s="49">
        <v>0</v>
      </c>
      <c r="G14" s="49">
        <f>'enrolment vs availed_UPY'!G14</f>
        <v>57832</v>
      </c>
      <c r="H14" s="428">
        <v>1069</v>
      </c>
      <c r="I14" s="428">
        <f t="shared" si="1"/>
        <v>1069</v>
      </c>
      <c r="J14" s="49">
        <v>0</v>
      </c>
      <c r="K14" s="428">
        <f t="shared" si="2"/>
        <v>3686</v>
      </c>
      <c r="L14" s="49">
        <v>0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s="46" customFormat="1" ht="15" x14ac:dyDescent="0.2">
      <c r="A15" s="272">
        <v>5</v>
      </c>
      <c r="B15" s="273" t="s">
        <v>900</v>
      </c>
      <c r="C15" s="49">
        <f>'enrolment vs availed_PY'!G15</f>
        <v>63318</v>
      </c>
      <c r="D15" s="428">
        <v>1486</v>
      </c>
      <c r="E15" s="428">
        <f t="shared" si="0"/>
        <v>1486</v>
      </c>
      <c r="F15" s="49">
        <v>0</v>
      </c>
      <c r="G15" s="49">
        <f>'enrolment vs availed_UPY'!G15</f>
        <v>29166</v>
      </c>
      <c r="H15" s="428">
        <v>607</v>
      </c>
      <c r="I15" s="428">
        <f t="shared" si="1"/>
        <v>607</v>
      </c>
      <c r="J15" s="49">
        <v>0</v>
      </c>
      <c r="K15" s="428">
        <f t="shared" si="2"/>
        <v>2093</v>
      </c>
      <c r="L15" s="49">
        <v>0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s="46" customFormat="1" ht="15" x14ac:dyDescent="0.2">
      <c r="A16" s="272">
        <v>6</v>
      </c>
      <c r="B16" s="273" t="s">
        <v>901</v>
      </c>
      <c r="C16" s="49">
        <f>'enrolment vs availed_PY'!G16</f>
        <v>107712</v>
      </c>
      <c r="D16" s="428">
        <v>2462</v>
      </c>
      <c r="E16" s="428">
        <f t="shared" si="0"/>
        <v>2462</v>
      </c>
      <c r="F16" s="49">
        <v>0</v>
      </c>
      <c r="G16" s="49">
        <f>'enrolment vs availed_UPY'!G16</f>
        <v>65421</v>
      </c>
      <c r="H16" s="428">
        <v>1005</v>
      </c>
      <c r="I16" s="428">
        <f t="shared" si="1"/>
        <v>1005</v>
      </c>
      <c r="J16" s="49">
        <v>0</v>
      </c>
      <c r="K16" s="428">
        <f t="shared" si="2"/>
        <v>3467</v>
      </c>
      <c r="L16" s="49">
        <v>0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s="46" customFormat="1" ht="15" x14ac:dyDescent="0.2">
      <c r="A17" s="272">
        <v>7</v>
      </c>
      <c r="B17" s="273" t="s">
        <v>902</v>
      </c>
      <c r="C17" s="49">
        <f>'enrolment vs availed_PY'!G17</f>
        <v>76223</v>
      </c>
      <c r="D17" s="428">
        <v>1908</v>
      </c>
      <c r="E17" s="428">
        <f t="shared" si="0"/>
        <v>1908</v>
      </c>
      <c r="F17" s="49">
        <v>0</v>
      </c>
      <c r="G17" s="49">
        <f>'enrolment vs availed_UPY'!G17</f>
        <v>42774</v>
      </c>
      <c r="H17" s="428">
        <v>779</v>
      </c>
      <c r="I17" s="428">
        <f t="shared" si="1"/>
        <v>779</v>
      </c>
      <c r="J17" s="49">
        <v>0</v>
      </c>
      <c r="K17" s="428">
        <f t="shared" si="2"/>
        <v>2687</v>
      </c>
      <c r="L17" s="49">
        <v>0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s="46" customFormat="1" ht="15" x14ac:dyDescent="0.2">
      <c r="A18" s="272">
        <v>8</v>
      </c>
      <c r="B18" s="273" t="s">
        <v>903</v>
      </c>
      <c r="C18" s="49">
        <f>'enrolment vs availed_PY'!G18</f>
        <v>175129</v>
      </c>
      <c r="D18" s="428">
        <v>2639</v>
      </c>
      <c r="E18" s="428">
        <f t="shared" si="0"/>
        <v>2639</v>
      </c>
      <c r="F18" s="49">
        <v>0</v>
      </c>
      <c r="G18" s="49">
        <f>'enrolment vs availed_UPY'!G18</f>
        <v>78616</v>
      </c>
      <c r="H18" s="428">
        <v>1078</v>
      </c>
      <c r="I18" s="428">
        <f t="shared" si="1"/>
        <v>1078</v>
      </c>
      <c r="J18" s="49">
        <v>0</v>
      </c>
      <c r="K18" s="428">
        <f t="shared" si="2"/>
        <v>3717</v>
      </c>
      <c r="L18" s="49">
        <v>0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s="46" customFormat="1" ht="15" x14ac:dyDescent="0.2">
      <c r="A19" s="272">
        <v>9</v>
      </c>
      <c r="B19" s="273" t="s">
        <v>904</v>
      </c>
      <c r="C19" s="49">
        <f>'enrolment vs availed_PY'!G19</f>
        <v>231033</v>
      </c>
      <c r="D19" s="428">
        <v>3954</v>
      </c>
      <c r="E19" s="428">
        <f t="shared" si="0"/>
        <v>3954</v>
      </c>
      <c r="F19" s="49">
        <v>0</v>
      </c>
      <c r="G19" s="49">
        <f>'enrolment vs availed_UPY'!G19</f>
        <v>119104</v>
      </c>
      <c r="H19" s="428">
        <v>1615</v>
      </c>
      <c r="I19" s="428">
        <f t="shared" si="1"/>
        <v>1615</v>
      </c>
      <c r="J19" s="49">
        <v>0</v>
      </c>
      <c r="K19" s="428">
        <f t="shared" si="2"/>
        <v>5569</v>
      </c>
      <c r="L19" s="49">
        <v>0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s="46" customFormat="1" ht="15" x14ac:dyDescent="0.2">
      <c r="A20" s="272">
        <v>10</v>
      </c>
      <c r="B20" s="273" t="s">
        <v>905</v>
      </c>
      <c r="C20" s="49">
        <f>'enrolment vs availed_PY'!G20</f>
        <v>88118</v>
      </c>
      <c r="D20" s="428">
        <v>1719</v>
      </c>
      <c r="E20" s="428">
        <f t="shared" si="0"/>
        <v>1719</v>
      </c>
      <c r="F20" s="49">
        <v>0</v>
      </c>
      <c r="G20" s="49">
        <f>'enrolment vs availed_UPY'!G20</f>
        <v>42347</v>
      </c>
      <c r="H20" s="428">
        <v>702</v>
      </c>
      <c r="I20" s="428">
        <f t="shared" si="1"/>
        <v>702</v>
      </c>
      <c r="J20" s="49">
        <v>0</v>
      </c>
      <c r="K20" s="428">
        <f t="shared" si="2"/>
        <v>2421</v>
      </c>
      <c r="L20" s="49">
        <v>0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s="46" customFormat="1" ht="15" x14ac:dyDescent="0.2">
      <c r="A21" s="272">
        <v>11</v>
      </c>
      <c r="B21" s="273" t="s">
        <v>906</v>
      </c>
      <c r="C21" s="49">
        <f>'enrolment vs availed_PY'!G21</f>
        <v>140756</v>
      </c>
      <c r="D21" s="428">
        <v>2435</v>
      </c>
      <c r="E21" s="428">
        <f t="shared" si="0"/>
        <v>2435</v>
      </c>
      <c r="F21" s="49">
        <v>0</v>
      </c>
      <c r="G21" s="49">
        <f>'enrolment vs availed_UPY'!G21</f>
        <v>71936</v>
      </c>
      <c r="H21" s="428">
        <v>994</v>
      </c>
      <c r="I21" s="428">
        <f t="shared" si="1"/>
        <v>994</v>
      </c>
      <c r="J21" s="49">
        <v>0</v>
      </c>
      <c r="K21" s="428">
        <f t="shared" si="2"/>
        <v>3429</v>
      </c>
      <c r="L21" s="49">
        <v>0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s="46" customFormat="1" ht="15" x14ac:dyDescent="0.2">
      <c r="A22" s="272">
        <v>12</v>
      </c>
      <c r="B22" s="273" t="s">
        <v>907</v>
      </c>
      <c r="C22" s="49">
        <f>'enrolment vs availed_PY'!G22</f>
        <v>113733</v>
      </c>
      <c r="D22" s="428">
        <v>2446</v>
      </c>
      <c r="E22" s="428">
        <f t="shared" si="0"/>
        <v>2446</v>
      </c>
      <c r="F22" s="49">
        <v>0</v>
      </c>
      <c r="G22" s="49">
        <f>'enrolment vs availed_UPY'!G22</f>
        <v>60435</v>
      </c>
      <c r="H22" s="428">
        <v>999</v>
      </c>
      <c r="I22" s="428">
        <f t="shared" si="1"/>
        <v>999</v>
      </c>
      <c r="J22" s="49">
        <v>0</v>
      </c>
      <c r="K22" s="428">
        <f t="shared" si="2"/>
        <v>3445</v>
      </c>
      <c r="L22" s="49">
        <v>0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s="46" customFormat="1" ht="15" x14ac:dyDescent="0.2">
      <c r="A23" s="272">
        <v>13</v>
      </c>
      <c r="B23" s="273" t="s">
        <v>908</v>
      </c>
      <c r="C23" s="49">
        <f>'enrolment vs availed_PY'!G23</f>
        <v>45032</v>
      </c>
      <c r="D23" s="428">
        <v>1210</v>
      </c>
      <c r="E23" s="428">
        <f t="shared" si="0"/>
        <v>1210</v>
      </c>
      <c r="F23" s="49">
        <v>0</v>
      </c>
      <c r="G23" s="49">
        <f>'enrolment vs availed_UPY'!G23</f>
        <v>29130</v>
      </c>
      <c r="H23" s="428">
        <v>494</v>
      </c>
      <c r="I23" s="428">
        <f t="shared" si="1"/>
        <v>494</v>
      </c>
      <c r="J23" s="49">
        <v>0</v>
      </c>
      <c r="K23" s="428">
        <f t="shared" si="2"/>
        <v>1704</v>
      </c>
      <c r="L23" s="49">
        <v>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s="46" customFormat="1" ht="15" x14ac:dyDescent="0.2">
      <c r="A24" s="272">
        <v>14</v>
      </c>
      <c r="B24" s="273" t="s">
        <v>909</v>
      </c>
      <c r="C24" s="49">
        <f>'enrolment vs availed_PY'!G24</f>
        <v>55447</v>
      </c>
      <c r="D24" s="428">
        <v>1069</v>
      </c>
      <c r="E24" s="428">
        <f t="shared" si="0"/>
        <v>1069</v>
      </c>
      <c r="F24" s="49">
        <v>0</v>
      </c>
      <c r="G24" s="49">
        <f>'enrolment vs availed_UPY'!G24</f>
        <v>31689</v>
      </c>
      <c r="H24" s="428">
        <v>437</v>
      </c>
      <c r="I24" s="428">
        <f t="shared" si="1"/>
        <v>437</v>
      </c>
      <c r="J24" s="49">
        <v>0</v>
      </c>
      <c r="K24" s="428">
        <f t="shared" si="2"/>
        <v>1506</v>
      </c>
      <c r="L24" s="49">
        <v>0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s="46" customFormat="1" ht="15" x14ac:dyDescent="0.2">
      <c r="A25" s="272">
        <v>15</v>
      </c>
      <c r="B25" s="273" t="s">
        <v>910</v>
      </c>
      <c r="C25" s="49">
        <f>'enrolment vs availed_PY'!G25</f>
        <v>116246</v>
      </c>
      <c r="D25" s="428">
        <v>2782</v>
      </c>
      <c r="E25" s="428">
        <f t="shared" si="0"/>
        <v>2782</v>
      </c>
      <c r="F25" s="49">
        <v>0</v>
      </c>
      <c r="G25" s="49">
        <f>'enrolment vs availed_UPY'!G25</f>
        <v>60533</v>
      </c>
      <c r="H25" s="428">
        <v>1136</v>
      </c>
      <c r="I25" s="428">
        <f t="shared" si="1"/>
        <v>1136</v>
      </c>
      <c r="J25" s="49">
        <v>0</v>
      </c>
      <c r="K25" s="428">
        <f t="shared" si="2"/>
        <v>3918</v>
      </c>
      <c r="L25" s="49">
        <v>0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s="46" customFormat="1" ht="15" x14ac:dyDescent="0.2">
      <c r="A26" s="272">
        <v>16</v>
      </c>
      <c r="B26" s="273" t="s">
        <v>911</v>
      </c>
      <c r="C26" s="49">
        <f>'enrolment vs availed_PY'!G26</f>
        <v>239095</v>
      </c>
      <c r="D26" s="428">
        <v>4941</v>
      </c>
      <c r="E26" s="428">
        <f t="shared" si="0"/>
        <v>4941</v>
      </c>
      <c r="F26" s="49">
        <v>0</v>
      </c>
      <c r="G26" s="49">
        <f>'enrolment vs availed_UPY'!G26</f>
        <v>105982</v>
      </c>
      <c r="H26" s="428">
        <v>2018</v>
      </c>
      <c r="I26" s="428">
        <f t="shared" si="1"/>
        <v>2018</v>
      </c>
      <c r="J26" s="49">
        <v>0</v>
      </c>
      <c r="K26" s="428">
        <f t="shared" si="2"/>
        <v>6959</v>
      </c>
      <c r="L26" s="49">
        <v>0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s="46" customFormat="1" ht="16.5" customHeight="1" x14ac:dyDescent="0.2">
      <c r="A27" s="272">
        <v>17</v>
      </c>
      <c r="B27" s="273" t="s">
        <v>912</v>
      </c>
      <c r="C27" s="49">
        <f>'enrolment vs availed_PY'!G27</f>
        <v>125098</v>
      </c>
      <c r="D27" s="428">
        <v>2677</v>
      </c>
      <c r="E27" s="428">
        <f t="shared" si="0"/>
        <v>2677</v>
      </c>
      <c r="F27" s="49">
        <v>0</v>
      </c>
      <c r="G27" s="49">
        <f>'enrolment vs availed_UPY'!G27</f>
        <v>81213</v>
      </c>
      <c r="H27" s="428">
        <v>1094</v>
      </c>
      <c r="I27" s="428">
        <f t="shared" si="1"/>
        <v>1094</v>
      </c>
      <c r="J27" s="49">
        <v>0</v>
      </c>
      <c r="K27" s="428">
        <f t="shared" si="2"/>
        <v>3771</v>
      </c>
      <c r="L27" s="49">
        <v>0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s="46" customFormat="1" ht="15" x14ac:dyDescent="0.2">
      <c r="A28" s="272">
        <v>18</v>
      </c>
      <c r="B28" s="273" t="s">
        <v>913</v>
      </c>
      <c r="C28" s="49">
        <f>'enrolment vs availed_PY'!G28</f>
        <v>104377</v>
      </c>
      <c r="D28" s="428">
        <v>2742</v>
      </c>
      <c r="E28" s="428">
        <f t="shared" si="0"/>
        <v>2742</v>
      </c>
      <c r="F28" s="49">
        <v>0</v>
      </c>
      <c r="G28" s="49">
        <f>'enrolment vs availed_UPY'!G28</f>
        <v>62133</v>
      </c>
      <c r="H28" s="428">
        <v>1120</v>
      </c>
      <c r="I28" s="428">
        <f t="shared" si="1"/>
        <v>1120</v>
      </c>
      <c r="J28" s="49">
        <v>0</v>
      </c>
      <c r="K28" s="428">
        <f t="shared" si="2"/>
        <v>3862</v>
      </c>
      <c r="L28" s="49">
        <v>0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s="46" customFormat="1" ht="15" x14ac:dyDescent="0.2">
      <c r="A29" s="272">
        <v>19</v>
      </c>
      <c r="B29" s="273" t="s">
        <v>914</v>
      </c>
      <c r="C29" s="49">
        <f>'enrolment vs availed_PY'!G29</f>
        <v>135448</v>
      </c>
      <c r="D29" s="428">
        <v>3294</v>
      </c>
      <c r="E29" s="428">
        <f t="shared" si="0"/>
        <v>3294</v>
      </c>
      <c r="F29" s="49">
        <v>0</v>
      </c>
      <c r="G29" s="49">
        <f>'enrolment vs availed_UPY'!G29</f>
        <v>62793</v>
      </c>
      <c r="H29" s="428">
        <v>1346</v>
      </c>
      <c r="I29" s="428">
        <f t="shared" si="1"/>
        <v>1346</v>
      </c>
      <c r="J29" s="49">
        <v>0</v>
      </c>
      <c r="K29" s="428">
        <f t="shared" si="2"/>
        <v>4640</v>
      </c>
      <c r="L29" s="49">
        <v>0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s="46" customFormat="1" ht="15" x14ac:dyDescent="0.2">
      <c r="A30" s="272">
        <v>20</v>
      </c>
      <c r="B30" s="273" t="s">
        <v>915</v>
      </c>
      <c r="C30" s="49">
        <f>'enrolment vs availed_PY'!G30</f>
        <v>71995</v>
      </c>
      <c r="D30" s="428">
        <v>1563</v>
      </c>
      <c r="E30" s="428">
        <f t="shared" si="0"/>
        <v>1563</v>
      </c>
      <c r="F30" s="49">
        <v>0</v>
      </c>
      <c r="G30" s="49">
        <f>'enrolment vs availed_UPY'!G30</f>
        <v>36990</v>
      </c>
      <c r="H30" s="428">
        <v>639</v>
      </c>
      <c r="I30" s="428">
        <f t="shared" si="1"/>
        <v>639</v>
      </c>
      <c r="J30" s="49">
        <v>0</v>
      </c>
      <c r="K30" s="428">
        <f t="shared" si="2"/>
        <v>2202</v>
      </c>
      <c r="L30" s="49">
        <v>0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s="46" customFormat="1" ht="15" x14ac:dyDescent="0.2">
      <c r="A31" s="272">
        <v>21</v>
      </c>
      <c r="B31" s="273" t="s">
        <v>916</v>
      </c>
      <c r="C31" s="49">
        <f>'enrolment vs availed_PY'!G31</f>
        <v>135476</v>
      </c>
      <c r="D31" s="428">
        <v>2261</v>
      </c>
      <c r="E31" s="428">
        <f t="shared" si="0"/>
        <v>2261</v>
      </c>
      <c r="F31" s="49">
        <v>0</v>
      </c>
      <c r="G31" s="49">
        <f>'enrolment vs availed_UPY'!G31</f>
        <v>56409</v>
      </c>
      <c r="H31" s="428">
        <v>924</v>
      </c>
      <c r="I31" s="428">
        <f t="shared" si="1"/>
        <v>924</v>
      </c>
      <c r="J31" s="49">
        <v>0</v>
      </c>
      <c r="K31" s="428">
        <f t="shared" si="2"/>
        <v>3185</v>
      </c>
      <c r="L31" s="49">
        <v>0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s="46" customFormat="1" ht="15" x14ac:dyDescent="0.2">
      <c r="A32" s="272">
        <v>22</v>
      </c>
      <c r="B32" s="273" t="s">
        <v>917</v>
      </c>
      <c r="C32" s="49">
        <f>'enrolment vs availed_PY'!G32</f>
        <v>109029</v>
      </c>
      <c r="D32" s="428">
        <v>1468</v>
      </c>
      <c r="E32" s="428">
        <f t="shared" si="0"/>
        <v>1468</v>
      </c>
      <c r="F32" s="49">
        <v>0</v>
      </c>
      <c r="G32" s="49">
        <f>'enrolment vs availed_UPY'!G32</f>
        <v>34603</v>
      </c>
      <c r="H32" s="428">
        <v>600</v>
      </c>
      <c r="I32" s="428">
        <f t="shared" si="1"/>
        <v>600</v>
      </c>
      <c r="J32" s="49">
        <v>0</v>
      </c>
      <c r="K32" s="428">
        <f t="shared" si="2"/>
        <v>2068</v>
      </c>
      <c r="L32" s="49">
        <v>0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s="46" customFormat="1" ht="15" x14ac:dyDescent="0.2">
      <c r="A33" s="272">
        <v>23</v>
      </c>
      <c r="B33" s="273" t="s">
        <v>918</v>
      </c>
      <c r="C33" s="49">
        <f>'enrolment vs availed_PY'!G33</f>
        <v>145938</v>
      </c>
      <c r="D33" s="428">
        <v>2276</v>
      </c>
      <c r="E33" s="428">
        <f t="shared" si="0"/>
        <v>2276</v>
      </c>
      <c r="F33" s="49">
        <v>0</v>
      </c>
      <c r="G33" s="49">
        <f>'enrolment vs availed_UPY'!G33</f>
        <v>58448</v>
      </c>
      <c r="H33" s="428">
        <v>930</v>
      </c>
      <c r="I33" s="428">
        <f t="shared" si="1"/>
        <v>930</v>
      </c>
      <c r="J33" s="49">
        <v>0</v>
      </c>
      <c r="K33" s="428">
        <f t="shared" si="2"/>
        <v>3206</v>
      </c>
      <c r="L33" s="49"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s="46" customFormat="1" ht="15" x14ac:dyDescent="0.2">
      <c r="A34" s="272">
        <v>24</v>
      </c>
      <c r="B34" s="274" t="s">
        <v>919</v>
      </c>
      <c r="C34" s="49">
        <f>'enrolment vs availed_PY'!G34</f>
        <v>150314</v>
      </c>
      <c r="D34" s="428">
        <v>3012</v>
      </c>
      <c r="E34" s="428">
        <f t="shared" si="0"/>
        <v>3012</v>
      </c>
      <c r="F34" s="49">
        <v>0</v>
      </c>
      <c r="G34" s="49">
        <f>'enrolment vs availed_UPY'!G34</f>
        <v>75826</v>
      </c>
      <c r="H34" s="428">
        <v>1230</v>
      </c>
      <c r="I34" s="428">
        <f t="shared" si="1"/>
        <v>1230</v>
      </c>
      <c r="J34" s="49">
        <v>0</v>
      </c>
      <c r="K34" s="428">
        <f t="shared" si="2"/>
        <v>4242</v>
      </c>
      <c r="L34" s="49">
        <v>0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s="367" customFormat="1" ht="15" x14ac:dyDescent="0.25">
      <c r="A35" s="1183" t="s">
        <v>18</v>
      </c>
      <c r="B35" s="1183"/>
      <c r="C35" s="427">
        <f>SUM(C11:C34)</f>
        <v>2792149</v>
      </c>
      <c r="D35" s="429">
        <f>SUM(D11:D34)</f>
        <v>56509</v>
      </c>
      <c r="E35" s="429">
        <f t="shared" ref="E35:L35" si="3">SUM(E11:E34)</f>
        <v>56509</v>
      </c>
      <c r="F35" s="429">
        <f t="shared" si="3"/>
        <v>0</v>
      </c>
      <c r="G35" s="429">
        <f t="shared" si="3"/>
        <v>1388805</v>
      </c>
      <c r="H35" s="429">
        <f t="shared" si="3"/>
        <v>23082</v>
      </c>
      <c r="I35" s="429">
        <f t="shared" si="3"/>
        <v>23082</v>
      </c>
      <c r="J35" s="429">
        <f t="shared" si="3"/>
        <v>0</v>
      </c>
      <c r="K35" s="429">
        <f t="shared" si="3"/>
        <v>79591</v>
      </c>
      <c r="L35" s="429">
        <f t="shared" si="3"/>
        <v>0</v>
      </c>
    </row>
    <row r="37" spans="1:24" ht="18" x14ac:dyDescent="0.25">
      <c r="A37" s="681" t="s">
        <v>147</v>
      </c>
      <c r="B37" s="591"/>
      <c r="C37" s="610"/>
      <c r="D37" s="592"/>
      <c r="E37" s="593"/>
      <c r="F37" s="593"/>
      <c r="G37" s="593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4" ht="18" x14ac:dyDescent="0.25">
      <c r="A38" s="590"/>
      <c r="B38" s="591"/>
      <c r="C38" s="610"/>
      <c r="D38" s="593"/>
      <c r="E38" s="682"/>
      <c r="F38" s="682"/>
      <c r="G38" s="71"/>
      <c r="H38" s="71"/>
      <c r="I38" s="71"/>
      <c r="J38" s="682" t="s">
        <v>12</v>
      </c>
      <c r="K38" s="682"/>
      <c r="L38" s="71"/>
      <c r="M38" s="71"/>
      <c r="N38" s="71"/>
      <c r="O38" s="71"/>
      <c r="P38" s="71"/>
      <c r="Q38" s="71"/>
      <c r="R38" s="682"/>
      <c r="S38" s="682" t="s">
        <v>12</v>
      </c>
      <c r="T38" s="682"/>
      <c r="U38" s="71"/>
    </row>
    <row r="39" spans="1:24" ht="18" x14ac:dyDescent="0.25">
      <c r="A39" s="590"/>
      <c r="B39" s="591"/>
      <c r="C39" s="610"/>
      <c r="D39" s="593"/>
      <c r="E39" s="680"/>
      <c r="F39" s="593"/>
      <c r="G39" s="593"/>
      <c r="H39" s="71"/>
      <c r="I39" s="71"/>
      <c r="J39" s="680" t="s">
        <v>13</v>
      </c>
      <c r="K39" s="593"/>
      <c r="L39" s="71"/>
      <c r="M39" s="71"/>
      <c r="N39" s="71"/>
      <c r="O39" s="71"/>
      <c r="P39" s="71"/>
      <c r="Q39" s="71"/>
      <c r="R39" s="680"/>
      <c r="S39" s="593"/>
      <c r="T39" s="593"/>
      <c r="U39" s="593"/>
    </row>
    <row r="40" spans="1:24" ht="15" x14ac:dyDescent="0.25">
      <c r="A40" s="574"/>
      <c r="B40" s="574"/>
      <c r="C40" s="574"/>
      <c r="D40" s="574"/>
      <c r="E40" s="680"/>
      <c r="F40" s="680"/>
      <c r="G40" s="680"/>
      <c r="H40" s="71"/>
      <c r="I40" s="71"/>
      <c r="J40" s="680" t="s">
        <v>87</v>
      </c>
      <c r="K40" s="680"/>
      <c r="L40" s="71"/>
      <c r="M40" s="71"/>
      <c r="N40" s="71"/>
      <c r="O40" s="71"/>
      <c r="P40" s="71"/>
      <c r="Q40" s="71"/>
      <c r="R40" s="680"/>
      <c r="S40" s="680"/>
      <c r="T40" s="680"/>
      <c r="U40" s="680"/>
    </row>
    <row r="41" spans="1:24" ht="15" x14ac:dyDescent="0.25">
      <c r="A41" s="574"/>
      <c r="B41" s="574"/>
      <c r="C41" s="574"/>
      <c r="D41" s="574"/>
      <c r="E41" s="580"/>
      <c r="F41" s="680"/>
      <c r="G41" s="680"/>
      <c r="H41" s="71"/>
      <c r="I41" s="71"/>
      <c r="J41" s="580" t="s">
        <v>703</v>
      </c>
      <c r="K41" s="680"/>
      <c r="L41" s="71"/>
      <c r="M41" s="71"/>
      <c r="N41" s="71"/>
      <c r="O41" s="71"/>
      <c r="P41" s="71"/>
      <c r="Q41" s="71"/>
      <c r="R41" s="580"/>
      <c r="S41" s="680"/>
      <c r="T41" s="680"/>
      <c r="U41" s="680"/>
    </row>
    <row r="42" spans="1:24" ht="15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</sheetData>
  <mergeCells count="18">
    <mergeCell ref="H8:H9"/>
    <mergeCell ref="G8:G9"/>
    <mergeCell ref="I8:J8"/>
    <mergeCell ref="C7:F7"/>
    <mergeCell ref="D8:D9"/>
    <mergeCell ref="A35:B35"/>
    <mergeCell ref="K1:L1"/>
    <mergeCell ref="B2:J2"/>
    <mergeCell ref="B3:J3"/>
    <mergeCell ref="G7:J7"/>
    <mergeCell ref="A6:B6"/>
    <mergeCell ref="B5:L5"/>
    <mergeCell ref="K7:K9"/>
    <mergeCell ref="E8:F8"/>
    <mergeCell ref="L7:L9"/>
    <mergeCell ref="A7:A9"/>
    <mergeCell ref="B7:B9"/>
    <mergeCell ref="C8:C9"/>
  </mergeCells>
  <phoneticPr fontId="0" type="noConversion"/>
  <printOptions horizontalCentered="1"/>
  <pageMargins left="0.70866141732283472" right="0.24" top="0.23622047244094491" bottom="0" header="0.25" footer="0.31496062992125984"/>
  <pageSetup paperSize="9" scale="7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IQ57"/>
  <sheetViews>
    <sheetView topLeftCell="A13" zoomScale="110" zoomScaleNormal="110" zoomScaleSheetLayoutView="100" workbookViewId="0">
      <selection activeCell="F32" sqref="F32"/>
    </sheetView>
  </sheetViews>
  <sheetFormatPr defaultRowHeight="12.75" x14ac:dyDescent="0.2"/>
  <cols>
    <col min="1" max="1" width="4.7109375" style="149" customWidth="1"/>
    <col min="2" max="2" width="35.42578125" style="149" customWidth="1"/>
    <col min="3" max="11" width="7.85546875" style="149" customWidth="1"/>
    <col min="12" max="12" width="8.5703125" style="149" customWidth="1"/>
    <col min="13" max="13" width="8.7109375" style="149" customWidth="1"/>
    <col min="14" max="15" width="11.28515625" style="149" bestFit="1" customWidth="1"/>
    <col min="16" max="16" width="4" style="149" bestFit="1" customWidth="1"/>
    <col min="17" max="17" width="5.140625" style="149" bestFit="1" customWidth="1"/>
    <col min="18" max="18" width="4.140625" style="149" bestFit="1" customWidth="1"/>
    <col min="19" max="19" width="4" style="149" bestFit="1" customWidth="1"/>
    <col min="20" max="20" width="5.140625" style="149" bestFit="1" customWidth="1"/>
    <col min="21" max="21" width="4.140625" style="149" bestFit="1" customWidth="1"/>
    <col min="22" max="22" width="4" style="149" bestFit="1" customWidth="1"/>
    <col min="23" max="25" width="8" style="149" customWidth="1"/>
    <col min="26" max="258" width="9.140625" style="149"/>
    <col min="259" max="259" width="4.7109375" style="149" customWidth="1"/>
    <col min="260" max="260" width="35.42578125" style="149" customWidth="1"/>
    <col min="261" max="267" width="7.85546875" style="149" customWidth="1"/>
    <col min="268" max="268" width="8.5703125" style="149" customWidth="1"/>
    <col min="269" max="269" width="8.7109375" style="149" customWidth="1"/>
    <col min="270" max="281" width="8" style="149" customWidth="1"/>
    <col min="282" max="514" width="9.140625" style="149"/>
    <col min="515" max="515" width="4.7109375" style="149" customWidth="1"/>
    <col min="516" max="516" width="35.42578125" style="149" customWidth="1"/>
    <col min="517" max="523" width="7.85546875" style="149" customWidth="1"/>
    <col min="524" max="524" width="8.5703125" style="149" customWidth="1"/>
    <col min="525" max="525" width="8.7109375" style="149" customWidth="1"/>
    <col min="526" max="537" width="8" style="149" customWidth="1"/>
    <col min="538" max="770" width="9.140625" style="149"/>
    <col min="771" max="771" width="4.7109375" style="149" customWidth="1"/>
    <col min="772" max="772" width="35.42578125" style="149" customWidth="1"/>
    <col min="773" max="779" width="7.85546875" style="149" customWidth="1"/>
    <col min="780" max="780" width="8.5703125" style="149" customWidth="1"/>
    <col min="781" max="781" width="8.7109375" style="149" customWidth="1"/>
    <col min="782" max="793" width="8" style="149" customWidth="1"/>
    <col min="794" max="1026" width="9.140625" style="149"/>
    <col min="1027" max="1027" width="4.7109375" style="149" customWidth="1"/>
    <col min="1028" max="1028" width="35.42578125" style="149" customWidth="1"/>
    <col min="1029" max="1035" width="7.85546875" style="149" customWidth="1"/>
    <col min="1036" max="1036" width="8.5703125" style="149" customWidth="1"/>
    <col min="1037" max="1037" width="8.7109375" style="149" customWidth="1"/>
    <col min="1038" max="1049" width="8" style="149" customWidth="1"/>
    <col min="1050" max="1282" width="9.140625" style="149"/>
    <col min="1283" max="1283" width="4.7109375" style="149" customWidth="1"/>
    <col min="1284" max="1284" width="35.42578125" style="149" customWidth="1"/>
    <col min="1285" max="1291" width="7.85546875" style="149" customWidth="1"/>
    <col min="1292" max="1292" width="8.5703125" style="149" customWidth="1"/>
    <col min="1293" max="1293" width="8.7109375" style="149" customWidth="1"/>
    <col min="1294" max="1305" width="8" style="149" customWidth="1"/>
    <col min="1306" max="1538" width="9.140625" style="149"/>
    <col min="1539" max="1539" width="4.7109375" style="149" customWidth="1"/>
    <col min="1540" max="1540" width="35.42578125" style="149" customWidth="1"/>
    <col min="1541" max="1547" width="7.85546875" style="149" customWidth="1"/>
    <col min="1548" max="1548" width="8.5703125" style="149" customWidth="1"/>
    <col min="1549" max="1549" width="8.7109375" style="149" customWidth="1"/>
    <col min="1550" max="1561" width="8" style="149" customWidth="1"/>
    <col min="1562" max="1794" width="9.140625" style="149"/>
    <col min="1795" max="1795" width="4.7109375" style="149" customWidth="1"/>
    <col min="1796" max="1796" width="35.42578125" style="149" customWidth="1"/>
    <col min="1797" max="1803" width="7.85546875" style="149" customWidth="1"/>
    <col min="1804" max="1804" width="8.5703125" style="149" customWidth="1"/>
    <col min="1805" max="1805" width="8.7109375" style="149" customWidth="1"/>
    <col min="1806" max="1817" width="8" style="149" customWidth="1"/>
    <col min="1818" max="2050" width="9.140625" style="149"/>
    <col min="2051" max="2051" width="4.7109375" style="149" customWidth="1"/>
    <col min="2052" max="2052" width="35.42578125" style="149" customWidth="1"/>
    <col min="2053" max="2059" width="7.85546875" style="149" customWidth="1"/>
    <col min="2060" max="2060" width="8.5703125" style="149" customWidth="1"/>
    <col min="2061" max="2061" width="8.7109375" style="149" customWidth="1"/>
    <col min="2062" max="2073" width="8" style="149" customWidth="1"/>
    <col min="2074" max="2306" width="9.140625" style="149"/>
    <col min="2307" max="2307" width="4.7109375" style="149" customWidth="1"/>
    <col min="2308" max="2308" width="35.42578125" style="149" customWidth="1"/>
    <col min="2309" max="2315" width="7.85546875" style="149" customWidth="1"/>
    <col min="2316" max="2316" width="8.5703125" style="149" customWidth="1"/>
    <col min="2317" max="2317" width="8.7109375" style="149" customWidth="1"/>
    <col min="2318" max="2329" width="8" style="149" customWidth="1"/>
    <col min="2330" max="2562" width="9.140625" style="149"/>
    <col min="2563" max="2563" width="4.7109375" style="149" customWidth="1"/>
    <col min="2564" max="2564" width="35.42578125" style="149" customWidth="1"/>
    <col min="2565" max="2571" width="7.85546875" style="149" customWidth="1"/>
    <col min="2572" max="2572" width="8.5703125" style="149" customWidth="1"/>
    <col min="2573" max="2573" width="8.7109375" style="149" customWidth="1"/>
    <col min="2574" max="2585" width="8" style="149" customWidth="1"/>
    <col min="2586" max="2818" width="9.140625" style="149"/>
    <col min="2819" max="2819" width="4.7109375" style="149" customWidth="1"/>
    <col min="2820" max="2820" width="35.42578125" style="149" customWidth="1"/>
    <col min="2821" max="2827" width="7.85546875" style="149" customWidth="1"/>
    <col min="2828" max="2828" width="8.5703125" style="149" customWidth="1"/>
    <col min="2829" max="2829" width="8.7109375" style="149" customWidth="1"/>
    <col min="2830" max="2841" width="8" style="149" customWidth="1"/>
    <col min="2842" max="3074" width="9.140625" style="149"/>
    <col min="3075" max="3075" width="4.7109375" style="149" customWidth="1"/>
    <col min="3076" max="3076" width="35.42578125" style="149" customWidth="1"/>
    <col min="3077" max="3083" width="7.85546875" style="149" customWidth="1"/>
    <col min="3084" max="3084" width="8.5703125" style="149" customWidth="1"/>
    <col min="3085" max="3085" width="8.7109375" style="149" customWidth="1"/>
    <col min="3086" max="3097" width="8" style="149" customWidth="1"/>
    <col min="3098" max="3330" width="9.140625" style="149"/>
    <col min="3331" max="3331" width="4.7109375" style="149" customWidth="1"/>
    <col min="3332" max="3332" width="35.42578125" style="149" customWidth="1"/>
    <col min="3333" max="3339" width="7.85546875" style="149" customWidth="1"/>
    <col min="3340" max="3340" width="8.5703125" style="149" customWidth="1"/>
    <col min="3341" max="3341" width="8.7109375" style="149" customWidth="1"/>
    <col min="3342" max="3353" width="8" style="149" customWidth="1"/>
    <col min="3354" max="3586" width="9.140625" style="149"/>
    <col min="3587" max="3587" width="4.7109375" style="149" customWidth="1"/>
    <col min="3588" max="3588" width="35.42578125" style="149" customWidth="1"/>
    <col min="3589" max="3595" width="7.85546875" style="149" customWidth="1"/>
    <col min="3596" max="3596" width="8.5703125" style="149" customWidth="1"/>
    <col min="3597" max="3597" width="8.7109375" style="149" customWidth="1"/>
    <col min="3598" max="3609" width="8" style="149" customWidth="1"/>
    <col min="3610" max="3842" width="9.140625" style="149"/>
    <col min="3843" max="3843" width="4.7109375" style="149" customWidth="1"/>
    <col min="3844" max="3844" width="35.42578125" style="149" customWidth="1"/>
    <col min="3845" max="3851" width="7.85546875" style="149" customWidth="1"/>
    <col min="3852" max="3852" width="8.5703125" style="149" customWidth="1"/>
    <col min="3853" max="3853" width="8.7109375" style="149" customWidth="1"/>
    <col min="3854" max="3865" width="8" style="149" customWidth="1"/>
    <col min="3866" max="4098" width="9.140625" style="149"/>
    <col min="4099" max="4099" width="4.7109375" style="149" customWidth="1"/>
    <col min="4100" max="4100" width="35.42578125" style="149" customWidth="1"/>
    <col min="4101" max="4107" width="7.85546875" style="149" customWidth="1"/>
    <col min="4108" max="4108" width="8.5703125" style="149" customWidth="1"/>
    <col min="4109" max="4109" width="8.7109375" style="149" customWidth="1"/>
    <col min="4110" max="4121" width="8" style="149" customWidth="1"/>
    <col min="4122" max="4354" width="9.140625" style="149"/>
    <col min="4355" max="4355" width="4.7109375" style="149" customWidth="1"/>
    <col min="4356" max="4356" width="35.42578125" style="149" customWidth="1"/>
    <col min="4357" max="4363" width="7.85546875" style="149" customWidth="1"/>
    <col min="4364" max="4364" width="8.5703125" style="149" customWidth="1"/>
    <col min="4365" max="4365" width="8.7109375" style="149" customWidth="1"/>
    <col min="4366" max="4377" width="8" style="149" customWidth="1"/>
    <col min="4378" max="4610" width="9.140625" style="149"/>
    <col min="4611" max="4611" width="4.7109375" style="149" customWidth="1"/>
    <col min="4612" max="4612" width="35.42578125" style="149" customWidth="1"/>
    <col min="4613" max="4619" width="7.85546875" style="149" customWidth="1"/>
    <col min="4620" max="4620" width="8.5703125" style="149" customWidth="1"/>
    <col min="4621" max="4621" width="8.7109375" style="149" customWidth="1"/>
    <col min="4622" max="4633" width="8" style="149" customWidth="1"/>
    <col min="4634" max="4866" width="9.140625" style="149"/>
    <col min="4867" max="4867" width="4.7109375" style="149" customWidth="1"/>
    <col min="4868" max="4868" width="35.42578125" style="149" customWidth="1"/>
    <col min="4869" max="4875" width="7.85546875" style="149" customWidth="1"/>
    <col min="4876" max="4876" width="8.5703125" style="149" customWidth="1"/>
    <col min="4877" max="4877" width="8.7109375" style="149" customWidth="1"/>
    <col min="4878" max="4889" width="8" style="149" customWidth="1"/>
    <col min="4890" max="5122" width="9.140625" style="149"/>
    <col min="5123" max="5123" width="4.7109375" style="149" customWidth="1"/>
    <col min="5124" max="5124" width="35.42578125" style="149" customWidth="1"/>
    <col min="5125" max="5131" width="7.85546875" style="149" customWidth="1"/>
    <col min="5132" max="5132" width="8.5703125" style="149" customWidth="1"/>
    <col min="5133" max="5133" width="8.7109375" style="149" customWidth="1"/>
    <col min="5134" max="5145" width="8" style="149" customWidth="1"/>
    <col min="5146" max="5378" width="9.140625" style="149"/>
    <col min="5379" max="5379" width="4.7109375" style="149" customWidth="1"/>
    <col min="5380" max="5380" width="35.42578125" style="149" customWidth="1"/>
    <col min="5381" max="5387" width="7.85546875" style="149" customWidth="1"/>
    <col min="5388" max="5388" width="8.5703125" style="149" customWidth="1"/>
    <col min="5389" max="5389" width="8.7109375" style="149" customWidth="1"/>
    <col min="5390" max="5401" width="8" style="149" customWidth="1"/>
    <col min="5402" max="5634" width="9.140625" style="149"/>
    <col min="5635" max="5635" width="4.7109375" style="149" customWidth="1"/>
    <col min="5636" max="5636" width="35.42578125" style="149" customWidth="1"/>
    <col min="5637" max="5643" width="7.85546875" style="149" customWidth="1"/>
    <col min="5644" max="5644" width="8.5703125" style="149" customWidth="1"/>
    <col min="5645" max="5645" width="8.7109375" style="149" customWidth="1"/>
    <col min="5646" max="5657" width="8" style="149" customWidth="1"/>
    <col min="5658" max="5890" width="9.140625" style="149"/>
    <col min="5891" max="5891" width="4.7109375" style="149" customWidth="1"/>
    <col min="5892" max="5892" width="35.42578125" style="149" customWidth="1"/>
    <col min="5893" max="5899" width="7.85546875" style="149" customWidth="1"/>
    <col min="5900" max="5900" width="8.5703125" style="149" customWidth="1"/>
    <col min="5901" max="5901" width="8.7109375" style="149" customWidth="1"/>
    <col min="5902" max="5913" width="8" style="149" customWidth="1"/>
    <col min="5914" max="6146" width="9.140625" style="149"/>
    <col min="6147" max="6147" width="4.7109375" style="149" customWidth="1"/>
    <col min="6148" max="6148" width="35.42578125" style="149" customWidth="1"/>
    <col min="6149" max="6155" width="7.85546875" style="149" customWidth="1"/>
    <col min="6156" max="6156" width="8.5703125" style="149" customWidth="1"/>
    <col min="6157" max="6157" width="8.7109375" style="149" customWidth="1"/>
    <col min="6158" max="6169" width="8" style="149" customWidth="1"/>
    <col min="6170" max="6402" width="9.140625" style="149"/>
    <col min="6403" max="6403" width="4.7109375" style="149" customWidth="1"/>
    <col min="6404" max="6404" width="35.42578125" style="149" customWidth="1"/>
    <col min="6405" max="6411" width="7.85546875" style="149" customWidth="1"/>
    <col min="6412" max="6412" width="8.5703125" style="149" customWidth="1"/>
    <col min="6413" max="6413" width="8.7109375" style="149" customWidth="1"/>
    <col min="6414" max="6425" width="8" style="149" customWidth="1"/>
    <col min="6426" max="6658" width="9.140625" style="149"/>
    <col min="6659" max="6659" width="4.7109375" style="149" customWidth="1"/>
    <col min="6660" max="6660" width="35.42578125" style="149" customWidth="1"/>
    <col min="6661" max="6667" width="7.85546875" style="149" customWidth="1"/>
    <col min="6668" max="6668" width="8.5703125" style="149" customWidth="1"/>
    <col min="6669" max="6669" width="8.7109375" style="149" customWidth="1"/>
    <col min="6670" max="6681" width="8" style="149" customWidth="1"/>
    <col min="6682" max="6914" width="9.140625" style="149"/>
    <col min="6915" max="6915" width="4.7109375" style="149" customWidth="1"/>
    <col min="6916" max="6916" width="35.42578125" style="149" customWidth="1"/>
    <col min="6917" max="6923" width="7.85546875" style="149" customWidth="1"/>
    <col min="6924" max="6924" width="8.5703125" style="149" customWidth="1"/>
    <col min="6925" max="6925" width="8.7109375" style="149" customWidth="1"/>
    <col min="6926" max="6937" width="8" style="149" customWidth="1"/>
    <col min="6938" max="7170" width="9.140625" style="149"/>
    <col min="7171" max="7171" width="4.7109375" style="149" customWidth="1"/>
    <col min="7172" max="7172" width="35.42578125" style="149" customWidth="1"/>
    <col min="7173" max="7179" width="7.85546875" style="149" customWidth="1"/>
    <col min="7180" max="7180" width="8.5703125" style="149" customWidth="1"/>
    <col min="7181" max="7181" width="8.7109375" style="149" customWidth="1"/>
    <col min="7182" max="7193" width="8" style="149" customWidth="1"/>
    <col min="7194" max="7426" width="9.140625" style="149"/>
    <col min="7427" max="7427" width="4.7109375" style="149" customWidth="1"/>
    <col min="7428" max="7428" width="35.42578125" style="149" customWidth="1"/>
    <col min="7429" max="7435" width="7.85546875" style="149" customWidth="1"/>
    <col min="7436" max="7436" width="8.5703125" style="149" customWidth="1"/>
    <col min="7437" max="7437" width="8.7109375" style="149" customWidth="1"/>
    <col min="7438" max="7449" width="8" style="149" customWidth="1"/>
    <col min="7450" max="7682" width="9.140625" style="149"/>
    <col min="7683" max="7683" width="4.7109375" style="149" customWidth="1"/>
    <col min="7684" max="7684" width="35.42578125" style="149" customWidth="1"/>
    <col min="7685" max="7691" width="7.85546875" style="149" customWidth="1"/>
    <col min="7692" max="7692" width="8.5703125" style="149" customWidth="1"/>
    <col min="7693" max="7693" width="8.7109375" style="149" customWidth="1"/>
    <col min="7694" max="7705" width="8" style="149" customWidth="1"/>
    <col min="7706" max="7938" width="9.140625" style="149"/>
    <col min="7939" max="7939" width="4.7109375" style="149" customWidth="1"/>
    <col min="7940" max="7940" width="35.42578125" style="149" customWidth="1"/>
    <col min="7941" max="7947" width="7.85546875" style="149" customWidth="1"/>
    <col min="7948" max="7948" width="8.5703125" style="149" customWidth="1"/>
    <col min="7949" max="7949" width="8.7109375" style="149" customWidth="1"/>
    <col min="7950" max="7961" width="8" style="149" customWidth="1"/>
    <col min="7962" max="8194" width="9.140625" style="149"/>
    <col min="8195" max="8195" width="4.7109375" style="149" customWidth="1"/>
    <col min="8196" max="8196" width="35.42578125" style="149" customWidth="1"/>
    <col min="8197" max="8203" width="7.85546875" style="149" customWidth="1"/>
    <col min="8204" max="8204" width="8.5703125" style="149" customWidth="1"/>
    <col min="8205" max="8205" width="8.7109375" style="149" customWidth="1"/>
    <col min="8206" max="8217" width="8" style="149" customWidth="1"/>
    <col min="8218" max="8450" width="9.140625" style="149"/>
    <col min="8451" max="8451" width="4.7109375" style="149" customWidth="1"/>
    <col min="8452" max="8452" width="35.42578125" style="149" customWidth="1"/>
    <col min="8453" max="8459" width="7.85546875" style="149" customWidth="1"/>
    <col min="8460" max="8460" width="8.5703125" style="149" customWidth="1"/>
    <col min="8461" max="8461" width="8.7109375" style="149" customWidth="1"/>
    <col min="8462" max="8473" width="8" style="149" customWidth="1"/>
    <col min="8474" max="8706" width="9.140625" style="149"/>
    <col min="8707" max="8707" width="4.7109375" style="149" customWidth="1"/>
    <col min="8708" max="8708" width="35.42578125" style="149" customWidth="1"/>
    <col min="8709" max="8715" width="7.85546875" style="149" customWidth="1"/>
    <col min="8716" max="8716" width="8.5703125" style="149" customWidth="1"/>
    <col min="8717" max="8717" width="8.7109375" style="149" customWidth="1"/>
    <col min="8718" max="8729" width="8" style="149" customWidth="1"/>
    <col min="8730" max="8962" width="9.140625" style="149"/>
    <col min="8963" max="8963" width="4.7109375" style="149" customWidth="1"/>
    <col min="8964" max="8964" width="35.42578125" style="149" customWidth="1"/>
    <col min="8965" max="8971" width="7.85546875" style="149" customWidth="1"/>
    <col min="8972" max="8972" width="8.5703125" style="149" customWidth="1"/>
    <col min="8973" max="8973" width="8.7109375" style="149" customWidth="1"/>
    <col min="8974" max="8985" width="8" style="149" customWidth="1"/>
    <col min="8986" max="9218" width="9.140625" style="149"/>
    <col min="9219" max="9219" width="4.7109375" style="149" customWidth="1"/>
    <col min="9220" max="9220" width="35.42578125" style="149" customWidth="1"/>
    <col min="9221" max="9227" width="7.85546875" style="149" customWidth="1"/>
    <col min="9228" max="9228" width="8.5703125" style="149" customWidth="1"/>
    <col min="9229" max="9229" width="8.7109375" style="149" customWidth="1"/>
    <col min="9230" max="9241" width="8" style="149" customWidth="1"/>
    <col min="9242" max="9474" width="9.140625" style="149"/>
    <col min="9475" max="9475" width="4.7109375" style="149" customWidth="1"/>
    <col min="9476" max="9476" width="35.42578125" style="149" customWidth="1"/>
    <col min="9477" max="9483" width="7.85546875" style="149" customWidth="1"/>
    <col min="9484" max="9484" width="8.5703125" style="149" customWidth="1"/>
    <col min="9485" max="9485" width="8.7109375" style="149" customWidth="1"/>
    <col min="9486" max="9497" width="8" style="149" customWidth="1"/>
    <col min="9498" max="9730" width="9.140625" style="149"/>
    <col min="9731" max="9731" width="4.7109375" style="149" customWidth="1"/>
    <col min="9732" max="9732" width="35.42578125" style="149" customWidth="1"/>
    <col min="9733" max="9739" width="7.85546875" style="149" customWidth="1"/>
    <col min="9740" max="9740" width="8.5703125" style="149" customWidth="1"/>
    <col min="9741" max="9741" width="8.7109375" style="149" customWidth="1"/>
    <col min="9742" max="9753" width="8" style="149" customWidth="1"/>
    <col min="9754" max="9986" width="9.140625" style="149"/>
    <col min="9987" max="9987" width="4.7109375" style="149" customWidth="1"/>
    <col min="9988" max="9988" width="35.42578125" style="149" customWidth="1"/>
    <col min="9989" max="9995" width="7.85546875" style="149" customWidth="1"/>
    <col min="9996" max="9996" width="8.5703125" style="149" customWidth="1"/>
    <col min="9997" max="9997" width="8.7109375" style="149" customWidth="1"/>
    <col min="9998" max="10009" width="8" style="149" customWidth="1"/>
    <col min="10010" max="10242" width="9.140625" style="149"/>
    <col min="10243" max="10243" width="4.7109375" style="149" customWidth="1"/>
    <col min="10244" max="10244" width="35.42578125" style="149" customWidth="1"/>
    <col min="10245" max="10251" width="7.85546875" style="149" customWidth="1"/>
    <col min="10252" max="10252" width="8.5703125" style="149" customWidth="1"/>
    <col min="10253" max="10253" width="8.7109375" style="149" customWidth="1"/>
    <col min="10254" max="10265" width="8" style="149" customWidth="1"/>
    <col min="10266" max="10498" width="9.140625" style="149"/>
    <col min="10499" max="10499" width="4.7109375" style="149" customWidth="1"/>
    <col min="10500" max="10500" width="35.42578125" style="149" customWidth="1"/>
    <col min="10501" max="10507" width="7.85546875" style="149" customWidth="1"/>
    <col min="10508" max="10508" width="8.5703125" style="149" customWidth="1"/>
    <col min="10509" max="10509" width="8.7109375" style="149" customWidth="1"/>
    <col min="10510" max="10521" width="8" style="149" customWidth="1"/>
    <col min="10522" max="10754" width="9.140625" style="149"/>
    <col min="10755" max="10755" width="4.7109375" style="149" customWidth="1"/>
    <col min="10756" max="10756" width="35.42578125" style="149" customWidth="1"/>
    <col min="10757" max="10763" width="7.85546875" style="149" customWidth="1"/>
    <col min="10764" max="10764" width="8.5703125" style="149" customWidth="1"/>
    <col min="10765" max="10765" width="8.7109375" style="149" customWidth="1"/>
    <col min="10766" max="10777" width="8" style="149" customWidth="1"/>
    <col min="10778" max="11010" width="9.140625" style="149"/>
    <col min="11011" max="11011" width="4.7109375" style="149" customWidth="1"/>
    <col min="11012" max="11012" width="35.42578125" style="149" customWidth="1"/>
    <col min="11013" max="11019" width="7.85546875" style="149" customWidth="1"/>
    <col min="11020" max="11020" width="8.5703125" style="149" customWidth="1"/>
    <col min="11021" max="11021" width="8.7109375" style="149" customWidth="1"/>
    <col min="11022" max="11033" width="8" style="149" customWidth="1"/>
    <col min="11034" max="11266" width="9.140625" style="149"/>
    <col min="11267" max="11267" width="4.7109375" style="149" customWidth="1"/>
    <col min="11268" max="11268" width="35.42578125" style="149" customWidth="1"/>
    <col min="11269" max="11275" width="7.85546875" style="149" customWidth="1"/>
    <col min="11276" max="11276" width="8.5703125" style="149" customWidth="1"/>
    <col min="11277" max="11277" width="8.7109375" style="149" customWidth="1"/>
    <col min="11278" max="11289" width="8" style="149" customWidth="1"/>
    <col min="11290" max="11522" width="9.140625" style="149"/>
    <col min="11523" max="11523" width="4.7109375" style="149" customWidth="1"/>
    <col min="11524" max="11524" width="35.42578125" style="149" customWidth="1"/>
    <col min="11525" max="11531" width="7.85546875" style="149" customWidth="1"/>
    <col min="11532" max="11532" width="8.5703125" style="149" customWidth="1"/>
    <col min="11533" max="11533" width="8.7109375" style="149" customWidth="1"/>
    <col min="11534" max="11545" width="8" style="149" customWidth="1"/>
    <col min="11546" max="11778" width="9.140625" style="149"/>
    <col min="11779" max="11779" width="4.7109375" style="149" customWidth="1"/>
    <col min="11780" max="11780" width="35.42578125" style="149" customWidth="1"/>
    <col min="11781" max="11787" width="7.85546875" style="149" customWidth="1"/>
    <col min="11788" max="11788" width="8.5703125" style="149" customWidth="1"/>
    <col min="11789" max="11789" width="8.7109375" style="149" customWidth="1"/>
    <col min="11790" max="11801" width="8" style="149" customWidth="1"/>
    <col min="11802" max="12034" width="9.140625" style="149"/>
    <col min="12035" max="12035" width="4.7109375" style="149" customWidth="1"/>
    <col min="12036" max="12036" width="35.42578125" style="149" customWidth="1"/>
    <col min="12037" max="12043" width="7.85546875" style="149" customWidth="1"/>
    <col min="12044" max="12044" width="8.5703125" style="149" customWidth="1"/>
    <col min="12045" max="12045" width="8.7109375" style="149" customWidth="1"/>
    <col min="12046" max="12057" width="8" style="149" customWidth="1"/>
    <col min="12058" max="12290" width="9.140625" style="149"/>
    <col min="12291" max="12291" width="4.7109375" style="149" customWidth="1"/>
    <col min="12292" max="12292" width="35.42578125" style="149" customWidth="1"/>
    <col min="12293" max="12299" width="7.85546875" style="149" customWidth="1"/>
    <col min="12300" max="12300" width="8.5703125" style="149" customWidth="1"/>
    <col min="12301" max="12301" width="8.7109375" style="149" customWidth="1"/>
    <col min="12302" max="12313" width="8" style="149" customWidth="1"/>
    <col min="12314" max="12546" width="9.140625" style="149"/>
    <col min="12547" max="12547" width="4.7109375" style="149" customWidth="1"/>
    <col min="12548" max="12548" width="35.42578125" style="149" customWidth="1"/>
    <col min="12549" max="12555" width="7.85546875" style="149" customWidth="1"/>
    <col min="12556" max="12556" width="8.5703125" style="149" customWidth="1"/>
    <col min="12557" max="12557" width="8.7109375" style="149" customWidth="1"/>
    <col min="12558" max="12569" width="8" style="149" customWidth="1"/>
    <col min="12570" max="12802" width="9.140625" style="149"/>
    <col min="12803" max="12803" width="4.7109375" style="149" customWidth="1"/>
    <col min="12804" max="12804" width="35.42578125" style="149" customWidth="1"/>
    <col min="12805" max="12811" width="7.85546875" style="149" customWidth="1"/>
    <col min="12812" max="12812" width="8.5703125" style="149" customWidth="1"/>
    <col min="12813" max="12813" width="8.7109375" style="149" customWidth="1"/>
    <col min="12814" max="12825" width="8" style="149" customWidth="1"/>
    <col min="12826" max="13058" width="9.140625" style="149"/>
    <col min="13059" max="13059" width="4.7109375" style="149" customWidth="1"/>
    <col min="13060" max="13060" width="35.42578125" style="149" customWidth="1"/>
    <col min="13061" max="13067" width="7.85546875" style="149" customWidth="1"/>
    <col min="13068" max="13068" width="8.5703125" style="149" customWidth="1"/>
    <col min="13069" max="13069" width="8.7109375" style="149" customWidth="1"/>
    <col min="13070" max="13081" width="8" style="149" customWidth="1"/>
    <col min="13082" max="13314" width="9.140625" style="149"/>
    <col min="13315" max="13315" width="4.7109375" style="149" customWidth="1"/>
    <col min="13316" max="13316" width="35.42578125" style="149" customWidth="1"/>
    <col min="13317" max="13323" width="7.85546875" style="149" customWidth="1"/>
    <col min="13324" max="13324" width="8.5703125" style="149" customWidth="1"/>
    <col min="13325" max="13325" width="8.7109375" style="149" customWidth="1"/>
    <col min="13326" max="13337" width="8" style="149" customWidth="1"/>
    <col min="13338" max="13570" width="9.140625" style="149"/>
    <col min="13571" max="13571" width="4.7109375" style="149" customWidth="1"/>
    <col min="13572" max="13572" width="35.42578125" style="149" customWidth="1"/>
    <col min="13573" max="13579" width="7.85546875" style="149" customWidth="1"/>
    <col min="13580" max="13580" width="8.5703125" style="149" customWidth="1"/>
    <col min="13581" max="13581" width="8.7109375" style="149" customWidth="1"/>
    <col min="13582" max="13593" width="8" style="149" customWidth="1"/>
    <col min="13594" max="13826" width="9.140625" style="149"/>
    <col min="13827" max="13827" width="4.7109375" style="149" customWidth="1"/>
    <col min="13828" max="13828" width="35.42578125" style="149" customWidth="1"/>
    <col min="13829" max="13835" width="7.85546875" style="149" customWidth="1"/>
    <col min="13836" max="13836" width="8.5703125" style="149" customWidth="1"/>
    <col min="13837" max="13837" width="8.7109375" style="149" customWidth="1"/>
    <col min="13838" max="13849" width="8" style="149" customWidth="1"/>
    <col min="13850" max="14082" width="9.140625" style="149"/>
    <col min="14083" max="14083" width="4.7109375" style="149" customWidth="1"/>
    <col min="14084" max="14084" width="35.42578125" style="149" customWidth="1"/>
    <col min="14085" max="14091" width="7.85546875" style="149" customWidth="1"/>
    <col min="14092" max="14092" width="8.5703125" style="149" customWidth="1"/>
    <col min="14093" max="14093" width="8.7109375" style="149" customWidth="1"/>
    <col min="14094" max="14105" width="8" style="149" customWidth="1"/>
    <col min="14106" max="14338" width="9.140625" style="149"/>
    <col min="14339" max="14339" width="4.7109375" style="149" customWidth="1"/>
    <col min="14340" max="14340" width="35.42578125" style="149" customWidth="1"/>
    <col min="14341" max="14347" width="7.85546875" style="149" customWidth="1"/>
    <col min="14348" max="14348" width="8.5703125" style="149" customWidth="1"/>
    <col min="14349" max="14349" width="8.7109375" style="149" customWidth="1"/>
    <col min="14350" max="14361" width="8" style="149" customWidth="1"/>
    <col min="14362" max="14594" width="9.140625" style="149"/>
    <col min="14595" max="14595" width="4.7109375" style="149" customWidth="1"/>
    <col min="14596" max="14596" width="35.42578125" style="149" customWidth="1"/>
    <col min="14597" max="14603" width="7.85546875" style="149" customWidth="1"/>
    <col min="14604" max="14604" width="8.5703125" style="149" customWidth="1"/>
    <col min="14605" max="14605" width="8.7109375" style="149" customWidth="1"/>
    <col min="14606" max="14617" width="8" style="149" customWidth="1"/>
    <col min="14618" max="14850" width="9.140625" style="149"/>
    <col min="14851" max="14851" width="4.7109375" style="149" customWidth="1"/>
    <col min="14852" max="14852" width="35.42578125" style="149" customWidth="1"/>
    <col min="14853" max="14859" width="7.85546875" style="149" customWidth="1"/>
    <col min="14860" max="14860" width="8.5703125" style="149" customWidth="1"/>
    <col min="14861" max="14861" width="8.7109375" style="149" customWidth="1"/>
    <col min="14862" max="14873" width="8" style="149" customWidth="1"/>
    <col min="14874" max="15106" width="9.140625" style="149"/>
    <col min="15107" max="15107" width="4.7109375" style="149" customWidth="1"/>
    <col min="15108" max="15108" width="35.42578125" style="149" customWidth="1"/>
    <col min="15109" max="15115" width="7.85546875" style="149" customWidth="1"/>
    <col min="15116" max="15116" width="8.5703125" style="149" customWidth="1"/>
    <col min="15117" max="15117" width="8.7109375" style="149" customWidth="1"/>
    <col min="15118" max="15129" width="8" style="149" customWidth="1"/>
    <col min="15130" max="15362" width="9.140625" style="149"/>
    <col min="15363" max="15363" width="4.7109375" style="149" customWidth="1"/>
    <col min="15364" max="15364" width="35.42578125" style="149" customWidth="1"/>
    <col min="15365" max="15371" width="7.85546875" style="149" customWidth="1"/>
    <col min="15372" max="15372" width="8.5703125" style="149" customWidth="1"/>
    <col min="15373" max="15373" width="8.7109375" style="149" customWidth="1"/>
    <col min="15374" max="15385" width="8" style="149" customWidth="1"/>
    <col min="15386" max="15618" width="9.140625" style="149"/>
    <col min="15619" max="15619" width="4.7109375" style="149" customWidth="1"/>
    <col min="15620" max="15620" width="35.42578125" style="149" customWidth="1"/>
    <col min="15621" max="15627" width="7.85546875" style="149" customWidth="1"/>
    <col min="15628" max="15628" width="8.5703125" style="149" customWidth="1"/>
    <col min="15629" max="15629" width="8.7109375" style="149" customWidth="1"/>
    <col min="15630" max="15641" width="8" style="149" customWidth="1"/>
    <col min="15642" max="15874" width="9.140625" style="149"/>
    <col min="15875" max="15875" width="4.7109375" style="149" customWidth="1"/>
    <col min="15876" max="15876" width="35.42578125" style="149" customWidth="1"/>
    <col min="15877" max="15883" width="7.85546875" style="149" customWidth="1"/>
    <col min="15884" max="15884" width="8.5703125" style="149" customWidth="1"/>
    <col min="15885" max="15885" width="8.7109375" style="149" customWidth="1"/>
    <col min="15886" max="15897" width="8" style="149" customWidth="1"/>
    <col min="15898" max="16130" width="9.140625" style="149"/>
    <col min="16131" max="16131" width="4.7109375" style="149" customWidth="1"/>
    <col min="16132" max="16132" width="35.42578125" style="149" customWidth="1"/>
    <col min="16133" max="16139" width="7.85546875" style="149" customWidth="1"/>
    <col min="16140" max="16140" width="8.5703125" style="149" customWidth="1"/>
    <col min="16141" max="16141" width="8.7109375" style="149" customWidth="1"/>
    <col min="16142" max="16153" width="8" style="149" customWidth="1"/>
    <col min="16154" max="16384" width="9.140625" style="149"/>
  </cols>
  <sheetData>
    <row r="1" spans="1:251" ht="15" x14ac:dyDescent="0.2">
      <c r="Q1" s="1196" t="s">
        <v>547</v>
      </c>
      <c r="R1" s="1196"/>
      <c r="S1" s="1196"/>
      <c r="T1" s="1196"/>
      <c r="U1" s="1196"/>
      <c r="V1" s="1196"/>
      <c r="W1" s="1196"/>
    </row>
    <row r="2" spans="1:251" ht="15.75" x14ac:dyDescent="0.25">
      <c r="H2" s="150"/>
      <c r="I2" s="150"/>
      <c r="J2" s="150"/>
      <c r="K2" s="151"/>
      <c r="L2" s="150" t="s">
        <v>0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51" ht="15.75" x14ac:dyDescent="0.25">
      <c r="G3" s="150"/>
      <c r="H3" s="150"/>
      <c r="I3" s="150"/>
      <c r="J3" s="150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51" ht="18" x14ac:dyDescent="0.25">
      <c r="B4" s="1197" t="s">
        <v>740</v>
      </c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</row>
    <row r="6" spans="1:251" ht="15.75" x14ac:dyDescent="0.25">
      <c r="B6" s="1198" t="s">
        <v>758</v>
      </c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1198"/>
      <c r="Q6" s="1198"/>
      <c r="R6" s="1198"/>
      <c r="S6" s="1198"/>
      <c r="T6" s="1198"/>
      <c r="U6" s="1198"/>
      <c r="V6" s="1198"/>
      <c r="W6" s="1198"/>
    </row>
    <row r="8" spans="1:251" x14ac:dyDescent="0.2">
      <c r="A8" s="1186" t="s">
        <v>920</v>
      </c>
      <c r="B8" s="1186"/>
    </row>
    <row r="9" spans="1:251" ht="18" x14ac:dyDescent="0.25">
      <c r="A9" s="152"/>
      <c r="B9" s="152"/>
      <c r="X9" s="1200" t="s">
        <v>244</v>
      </c>
      <c r="Y9" s="1200"/>
    </row>
    <row r="10" spans="1:251" ht="12.75" customHeight="1" x14ac:dyDescent="0.2">
      <c r="A10" s="1201" t="s">
        <v>2</v>
      </c>
      <c r="B10" s="1201" t="s">
        <v>111</v>
      </c>
      <c r="C10" s="1203" t="s">
        <v>1013</v>
      </c>
      <c r="D10" s="1203"/>
      <c r="E10" s="1203"/>
      <c r="F10" s="1203"/>
      <c r="G10" s="1203"/>
      <c r="H10" s="1203"/>
      <c r="I10" s="1203"/>
      <c r="J10" s="1203"/>
      <c r="K10" s="1203"/>
      <c r="L10" s="1203"/>
      <c r="M10" s="1203"/>
      <c r="N10" s="1203" t="s">
        <v>1015</v>
      </c>
      <c r="O10" s="1203"/>
      <c r="P10" s="1203"/>
      <c r="Q10" s="1203"/>
      <c r="R10" s="1203"/>
      <c r="S10" s="1203"/>
      <c r="T10" s="1203"/>
      <c r="U10" s="1203"/>
      <c r="V10" s="1203"/>
      <c r="W10" s="1199" t="s">
        <v>136</v>
      </c>
      <c r="X10" s="1199"/>
      <c r="Y10" s="1199"/>
      <c r="Z10" s="153"/>
      <c r="AA10" s="153"/>
      <c r="AB10" s="153"/>
      <c r="AC10" s="153"/>
      <c r="AD10" s="153"/>
      <c r="AE10" s="154"/>
      <c r="AF10" s="155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</row>
    <row r="11" spans="1:251" ht="12.75" customHeight="1" x14ac:dyDescent="0.2">
      <c r="A11" s="1202"/>
      <c r="B11" s="1202"/>
      <c r="C11" s="1199" t="s">
        <v>171</v>
      </c>
      <c r="D11" s="1199"/>
      <c r="E11" s="1199"/>
      <c r="F11" s="789"/>
      <c r="G11" s="1199" t="s">
        <v>172</v>
      </c>
      <c r="H11" s="1199"/>
      <c r="I11" s="1199"/>
      <c r="J11" s="789"/>
      <c r="K11" s="1199" t="s">
        <v>18</v>
      </c>
      <c r="L11" s="1199"/>
      <c r="M11" s="1199"/>
      <c r="N11" s="1199" t="s">
        <v>171</v>
      </c>
      <c r="O11" s="1199"/>
      <c r="P11" s="1199"/>
      <c r="Q11" s="1199" t="s">
        <v>172</v>
      </c>
      <c r="R11" s="1199"/>
      <c r="S11" s="1199"/>
      <c r="T11" s="1199" t="s">
        <v>18</v>
      </c>
      <c r="U11" s="1199"/>
      <c r="V11" s="1199"/>
      <c r="W11" s="1199"/>
      <c r="X11" s="1199"/>
      <c r="Y11" s="1199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</row>
    <row r="12" spans="1:251" x14ac:dyDescent="0.2">
      <c r="A12" s="559"/>
      <c r="B12" s="559"/>
      <c r="C12" s="559" t="s">
        <v>245</v>
      </c>
      <c r="D12" s="559" t="s">
        <v>43</v>
      </c>
      <c r="E12" s="559" t="s">
        <v>44</v>
      </c>
      <c r="F12" s="789" t="s">
        <v>1229</v>
      </c>
      <c r="G12" s="559" t="s">
        <v>245</v>
      </c>
      <c r="H12" s="559" t="s">
        <v>43</v>
      </c>
      <c r="I12" s="559" t="s">
        <v>44</v>
      </c>
      <c r="J12" s="789"/>
      <c r="K12" s="559" t="s">
        <v>245</v>
      </c>
      <c r="L12" s="559" t="s">
        <v>43</v>
      </c>
      <c r="M12" s="559" t="s">
        <v>44</v>
      </c>
      <c r="N12" s="559" t="s">
        <v>245</v>
      </c>
      <c r="O12" s="559" t="s">
        <v>43</v>
      </c>
      <c r="P12" s="559" t="s">
        <v>44</v>
      </c>
      <c r="Q12" s="559" t="s">
        <v>245</v>
      </c>
      <c r="R12" s="559" t="s">
        <v>43</v>
      </c>
      <c r="S12" s="559" t="s">
        <v>44</v>
      </c>
      <c r="T12" s="559" t="s">
        <v>245</v>
      </c>
      <c r="U12" s="559" t="s">
        <v>43</v>
      </c>
      <c r="V12" s="559" t="s">
        <v>44</v>
      </c>
      <c r="W12" s="559" t="s">
        <v>245</v>
      </c>
      <c r="X12" s="559" t="s">
        <v>43</v>
      </c>
      <c r="Y12" s="559" t="s">
        <v>44</v>
      </c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</row>
    <row r="13" spans="1:251" x14ac:dyDescent="0.2">
      <c r="A13" s="559">
        <v>1</v>
      </c>
      <c r="B13" s="559">
        <v>2</v>
      </c>
      <c r="C13" s="559">
        <v>3</v>
      </c>
      <c r="D13" s="559">
        <v>4</v>
      </c>
      <c r="E13" s="559">
        <v>5</v>
      </c>
      <c r="F13" s="789"/>
      <c r="G13" s="559">
        <v>7</v>
      </c>
      <c r="H13" s="559">
        <v>8</v>
      </c>
      <c r="I13" s="559">
        <v>9</v>
      </c>
      <c r="J13" s="789"/>
      <c r="K13" s="559">
        <v>11</v>
      </c>
      <c r="L13" s="559">
        <v>12</v>
      </c>
      <c r="M13" s="559">
        <v>13</v>
      </c>
      <c r="N13" s="559">
        <v>15</v>
      </c>
      <c r="O13" s="559">
        <v>16</v>
      </c>
      <c r="P13" s="559">
        <v>17</v>
      </c>
      <c r="Q13" s="559">
        <v>19</v>
      </c>
      <c r="R13" s="559">
        <v>20</v>
      </c>
      <c r="S13" s="559">
        <v>21</v>
      </c>
      <c r="T13" s="559">
        <v>23</v>
      </c>
      <c r="U13" s="559">
        <v>24</v>
      </c>
      <c r="V13" s="559">
        <v>25</v>
      </c>
      <c r="W13" s="559">
        <v>27</v>
      </c>
      <c r="X13" s="559">
        <v>28</v>
      </c>
      <c r="Y13" s="559">
        <v>29</v>
      </c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</row>
    <row r="14" spans="1:251" ht="12.75" customHeight="1" x14ac:dyDescent="0.2">
      <c r="A14" s="1187" t="s">
        <v>237</v>
      </c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9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</row>
    <row r="15" spans="1:251" ht="12.75" customHeight="1" x14ac:dyDescent="0.2">
      <c r="A15" s="157">
        <v>1</v>
      </c>
      <c r="B15" s="158" t="s">
        <v>121</v>
      </c>
      <c r="C15" s="430">
        <v>1641.3935359999998</v>
      </c>
      <c r="D15" s="430">
        <v>425.90934799999997</v>
      </c>
      <c r="E15" s="430">
        <v>814.35711600000002</v>
      </c>
      <c r="F15" s="792">
        <f>C15+D15+E15</f>
        <v>2881.66</v>
      </c>
      <c r="G15" s="430">
        <v>0</v>
      </c>
      <c r="H15" s="430">
        <v>0</v>
      </c>
      <c r="I15" s="430">
        <v>0</v>
      </c>
      <c r="J15" s="792">
        <f>G15+H15+I15</f>
        <v>0</v>
      </c>
      <c r="K15" s="430">
        <f t="shared" ref="K15:M19" si="0">C15+G15</f>
        <v>1641.3935359999998</v>
      </c>
      <c r="L15" s="430">
        <f t="shared" si="0"/>
        <v>425.90934799999997</v>
      </c>
      <c r="M15" s="430">
        <f t="shared" si="0"/>
        <v>814.35711600000002</v>
      </c>
      <c r="N15" s="1190" t="s">
        <v>1031</v>
      </c>
      <c r="O15" s="1190"/>
      <c r="P15" s="1190"/>
      <c r="Q15" s="1190"/>
      <c r="R15" s="1190"/>
      <c r="S15" s="1190"/>
      <c r="T15" s="1190"/>
      <c r="U15" s="1190"/>
      <c r="V15" s="1190"/>
      <c r="W15" s="430">
        <f t="shared" ref="W15:Y25" si="1">K15</f>
        <v>1641.3935359999998</v>
      </c>
      <c r="X15" s="430">
        <f t="shared" si="1"/>
        <v>425.90934799999997</v>
      </c>
      <c r="Y15" s="430">
        <f t="shared" si="1"/>
        <v>814.35711600000002</v>
      </c>
    </row>
    <row r="16" spans="1:251" ht="12.75" customHeight="1" x14ac:dyDescent="0.2">
      <c r="A16" s="157">
        <v>2</v>
      </c>
      <c r="B16" s="159" t="s">
        <v>474</v>
      </c>
      <c r="C16" s="430">
        <v>14710.632</v>
      </c>
      <c r="D16" s="430">
        <v>3817.1197499999998</v>
      </c>
      <c r="E16" s="430">
        <v>7298.4982500000006</v>
      </c>
      <c r="F16" s="792">
        <f t="shared" ref="F16:F28" si="2">C16+D16+E16</f>
        <v>25826.25</v>
      </c>
      <c r="G16" s="430">
        <v>9786.4456959999989</v>
      </c>
      <c r="H16" s="430">
        <v>2539.3902279999998</v>
      </c>
      <c r="I16" s="430">
        <v>4855.4240760000002</v>
      </c>
      <c r="J16" s="792">
        <f t="shared" ref="J16:J28" si="3">G16+H16+I16</f>
        <v>17181.259999999998</v>
      </c>
      <c r="K16" s="430">
        <f t="shared" si="0"/>
        <v>24497.077696</v>
      </c>
      <c r="L16" s="430">
        <f t="shared" si="0"/>
        <v>6356.509978</v>
      </c>
      <c r="M16" s="430">
        <f t="shared" si="0"/>
        <v>12153.922326</v>
      </c>
      <c r="N16" s="1190"/>
      <c r="O16" s="1190"/>
      <c r="P16" s="1190"/>
      <c r="Q16" s="1190"/>
      <c r="R16" s="1190"/>
      <c r="S16" s="1190"/>
      <c r="T16" s="1190"/>
      <c r="U16" s="1190"/>
      <c r="V16" s="1190"/>
      <c r="W16" s="430">
        <f t="shared" si="1"/>
        <v>24497.077696</v>
      </c>
      <c r="X16" s="430">
        <f t="shared" si="1"/>
        <v>6356.509978</v>
      </c>
      <c r="Y16" s="430">
        <f t="shared" si="1"/>
        <v>12153.922326</v>
      </c>
    </row>
    <row r="17" spans="1:25" ht="12.75" customHeight="1" x14ac:dyDescent="0.2">
      <c r="A17" s="157">
        <v>3</v>
      </c>
      <c r="B17" s="159" t="s">
        <v>125</v>
      </c>
      <c r="C17" s="430">
        <v>2720.1020159999998</v>
      </c>
      <c r="D17" s="430">
        <v>705.8129879999999</v>
      </c>
      <c r="E17" s="430">
        <v>1349.5449960000001</v>
      </c>
      <c r="F17" s="792">
        <f t="shared" si="2"/>
        <v>4775.4599999999991</v>
      </c>
      <c r="G17" s="430">
        <v>1813.4013439999999</v>
      </c>
      <c r="H17" s="430">
        <v>470.54199199999994</v>
      </c>
      <c r="I17" s="430">
        <v>899.69666400000006</v>
      </c>
      <c r="J17" s="792">
        <f t="shared" si="3"/>
        <v>3183.64</v>
      </c>
      <c r="K17" s="430">
        <f t="shared" si="0"/>
        <v>4533.5033599999997</v>
      </c>
      <c r="L17" s="430">
        <f t="shared" si="0"/>
        <v>1176.3549799999998</v>
      </c>
      <c r="M17" s="430">
        <f t="shared" si="0"/>
        <v>2249.2416600000001</v>
      </c>
      <c r="N17" s="1190"/>
      <c r="O17" s="1190"/>
      <c r="P17" s="1190"/>
      <c r="Q17" s="1190"/>
      <c r="R17" s="1190"/>
      <c r="S17" s="1190"/>
      <c r="T17" s="1190"/>
      <c r="U17" s="1190"/>
      <c r="V17" s="1190"/>
      <c r="W17" s="430">
        <f t="shared" si="1"/>
        <v>4533.5033599999997</v>
      </c>
      <c r="X17" s="430">
        <f t="shared" si="1"/>
        <v>1176.3549799999998</v>
      </c>
      <c r="Y17" s="430">
        <f t="shared" si="1"/>
        <v>2249.2416600000001</v>
      </c>
    </row>
    <row r="18" spans="1:25" ht="12.6" customHeight="1" x14ac:dyDescent="0.2">
      <c r="A18" s="157">
        <v>4</v>
      </c>
      <c r="B18" s="159" t="s">
        <v>123</v>
      </c>
      <c r="C18" s="430">
        <v>642.87904000000003</v>
      </c>
      <c r="D18" s="430">
        <v>166.81447</v>
      </c>
      <c r="E18" s="430">
        <v>318.95649000000003</v>
      </c>
      <c r="F18" s="792">
        <f t="shared" si="2"/>
        <v>1128.6500000000001</v>
      </c>
      <c r="G18" s="430">
        <v>0</v>
      </c>
      <c r="H18" s="430">
        <v>0</v>
      </c>
      <c r="I18" s="430">
        <v>0</v>
      </c>
      <c r="J18" s="792">
        <f t="shared" si="3"/>
        <v>0</v>
      </c>
      <c r="K18" s="430">
        <f t="shared" si="0"/>
        <v>642.87904000000003</v>
      </c>
      <c r="L18" s="430">
        <f t="shared" si="0"/>
        <v>166.81447</v>
      </c>
      <c r="M18" s="430">
        <f t="shared" si="0"/>
        <v>318.95649000000003</v>
      </c>
      <c r="N18" s="1190"/>
      <c r="O18" s="1190"/>
      <c r="P18" s="1190"/>
      <c r="Q18" s="1190"/>
      <c r="R18" s="1190"/>
      <c r="S18" s="1190"/>
      <c r="T18" s="1190"/>
      <c r="U18" s="1190"/>
      <c r="V18" s="1190"/>
      <c r="W18" s="430">
        <f t="shared" si="1"/>
        <v>642.87904000000003</v>
      </c>
      <c r="X18" s="430">
        <f t="shared" si="1"/>
        <v>166.81447</v>
      </c>
      <c r="Y18" s="430">
        <f t="shared" si="1"/>
        <v>318.95649000000003</v>
      </c>
    </row>
    <row r="19" spans="1:25" ht="12.75" customHeight="1" x14ac:dyDescent="0.2">
      <c r="A19" s="157">
        <v>5</v>
      </c>
      <c r="B19" s="158" t="s">
        <v>124</v>
      </c>
      <c r="C19" s="430">
        <v>532.302592</v>
      </c>
      <c r="D19" s="430">
        <v>138.12205599999999</v>
      </c>
      <c r="E19" s="430">
        <v>264.09535199999999</v>
      </c>
      <c r="F19" s="792">
        <f t="shared" si="2"/>
        <v>934.52</v>
      </c>
      <c r="G19" s="430">
        <v>313.19456000000002</v>
      </c>
      <c r="H19" s="430">
        <v>81.267829999999989</v>
      </c>
      <c r="I19" s="430">
        <v>155.38761000000002</v>
      </c>
      <c r="J19" s="792">
        <f t="shared" si="3"/>
        <v>549.85</v>
      </c>
      <c r="K19" s="430">
        <f t="shared" si="0"/>
        <v>845.49715200000003</v>
      </c>
      <c r="L19" s="430">
        <f t="shared" si="0"/>
        <v>219.38988599999999</v>
      </c>
      <c r="M19" s="430">
        <f t="shared" si="0"/>
        <v>419.48296200000004</v>
      </c>
      <c r="N19" s="1190"/>
      <c r="O19" s="1190"/>
      <c r="P19" s="1190"/>
      <c r="Q19" s="1190"/>
      <c r="R19" s="1190"/>
      <c r="S19" s="1190"/>
      <c r="T19" s="1190"/>
      <c r="U19" s="1190"/>
      <c r="V19" s="1190"/>
      <c r="W19" s="430">
        <f t="shared" si="1"/>
        <v>845.49715200000003</v>
      </c>
      <c r="X19" s="430">
        <f t="shared" si="1"/>
        <v>219.38988599999999</v>
      </c>
      <c r="Y19" s="430">
        <f t="shared" si="1"/>
        <v>419.48296200000004</v>
      </c>
    </row>
    <row r="20" spans="1:25" s="156" customFormat="1" ht="12.75" customHeight="1" x14ac:dyDescent="0.2">
      <c r="A20" s="1191" t="s">
        <v>1040</v>
      </c>
      <c r="B20" s="1191"/>
      <c r="C20" s="489">
        <f t="shared" ref="C20:M20" si="4">SUM(C15:C19)</f>
        <v>20247.309183999998</v>
      </c>
      <c r="D20" s="489">
        <f t="shared" si="4"/>
        <v>5253.7786120000001</v>
      </c>
      <c r="E20" s="489">
        <f t="shared" si="4"/>
        <v>10045.452204000001</v>
      </c>
      <c r="F20" s="793">
        <f t="shared" si="2"/>
        <v>35546.54</v>
      </c>
      <c r="G20" s="489">
        <f t="shared" si="4"/>
        <v>11913.041599999999</v>
      </c>
      <c r="H20" s="489">
        <f t="shared" si="4"/>
        <v>3091.2000499999995</v>
      </c>
      <c r="I20" s="489">
        <f t="shared" si="4"/>
        <v>5910.5083500000001</v>
      </c>
      <c r="J20" s="793">
        <f t="shared" si="3"/>
        <v>20914.75</v>
      </c>
      <c r="K20" s="489">
        <f t="shared" si="4"/>
        <v>32160.350783999998</v>
      </c>
      <c r="L20" s="489">
        <f t="shared" si="4"/>
        <v>8344.9786620000013</v>
      </c>
      <c r="M20" s="489">
        <f t="shared" si="4"/>
        <v>15955.960553999999</v>
      </c>
      <c r="N20" s="1190"/>
      <c r="O20" s="1190"/>
      <c r="P20" s="1190"/>
      <c r="Q20" s="1190"/>
      <c r="R20" s="1190"/>
      <c r="S20" s="1190"/>
      <c r="T20" s="1190"/>
      <c r="U20" s="1190"/>
      <c r="V20" s="1190"/>
      <c r="W20" s="489">
        <f t="shared" si="1"/>
        <v>32160.350783999998</v>
      </c>
      <c r="X20" s="489">
        <f t="shared" si="1"/>
        <v>8344.9786620000013</v>
      </c>
      <c r="Y20" s="489">
        <f t="shared" si="1"/>
        <v>15955.960553999999</v>
      </c>
    </row>
    <row r="21" spans="1:25" ht="12.75" customHeight="1" x14ac:dyDescent="0.2">
      <c r="A21" s="1192" t="s">
        <v>238</v>
      </c>
      <c r="B21" s="1192"/>
      <c r="C21" s="430"/>
      <c r="D21" s="430"/>
      <c r="E21" s="430"/>
      <c r="F21" s="792"/>
      <c r="G21" s="430"/>
      <c r="H21" s="430"/>
      <c r="I21" s="430"/>
      <c r="J21" s="792"/>
      <c r="K21" s="430"/>
      <c r="L21" s="430"/>
      <c r="M21" s="430"/>
      <c r="N21" s="1190"/>
      <c r="O21" s="1190"/>
      <c r="P21" s="1190"/>
      <c r="Q21" s="1190"/>
      <c r="R21" s="1190"/>
      <c r="S21" s="1190"/>
      <c r="T21" s="1190"/>
      <c r="U21" s="1190"/>
      <c r="V21" s="1190"/>
      <c r="W21" s="430">
        <f t="shared" si="1"/>
        <v>0</v>
      </c>
      <c r="X21" s="430">
        <f t="shared" si="1"/>
        <v>0</v>
      </c>
      <c r="Y21" s="430">
        <f t="shared" si="1"/>
        <v>0</v>
      </c>
    </row>
    <row r="22" spans="1:25" ht="12.75" customHeight="1" x14ac:dyDescent="0.2">
      <c r="A22" s="157">
        <v>6</v>
      </c>
      <c r="B22" s="158" t="s">
        <v>126</v>
      </c>
      <c r="C22" s="430">
        <v>0</v>
      </c>
      <c r="D22" s="430">
        <v>0</v>
      </c>
      <c r="E22" s="430">
        <v>0</v>
      </c>
      <c r="F22" s="792">
        <f t="shared" si="2"/>
        <v>0</v>
      </c>
      <c r="G22" s="430">
        <v>0</v>
      </c>
      <c r="H22" s="430">
        <v>0</v>
      </c>
      <c r="I22" s="430">
        <v>0</v>
      </c>
      <c r="J22" s="792">
        <f t="shared" si="3"/>
        <v>0</v>
      </c>
      <c r="K22" s="430">
        <f t="shared" ref="K22:M24" si="5">C22+G22</f>
        <v>0</v>
      </c>
      <c r="L22" s="430">
        <f t="shared" si="5"/>
        <v>0</v>
      </c>
      <c r="M22" s="430">
        <f t="shared" si="5"/>
        <v>0</v>
      </c>
      <c r="N22" s="1190"/>
      <c r="O22" s="1190"/>
      <c r="P22" s="1190"/>
      <c r="Q22" s="1190"/>
      <c r="R22" s="1190"/>
      <c r="S22" s="1190"/>
      <c r="T22" s="1190"/>
      <c r="U22" s="1190"/>
      <c r="V22" s="1190"/>
      <c r="W22" s="430">
        <f t="shared" si="1"/>
        <v>0</v>
      </c>
      <c r="X22" s="430">
        <f t="shared" si="1"/>
        <v>0</v>
      </c>
      <c r="Y22" s="430">
        <f t="shared" si="1"/>
        <v>0</v>
      </c>
    </row>
    <row r="23" spans="1:25" ht="12.75" customHeight="1" x14ac:dyDescent="0.2">
      <c r="A23" s="157">
        <v>7</v>
      </c>
      <c r="B23" s="158" t="s">
        <v>1014</v>
      </c>
      <c r="C23" s="430">
        <v>1643.7630720000002</v>
      </c>
      <c r="D23" s="430">
        <v>426.52419599999996</v>
      </c>
      <c r="E23" s="430">
        <v>815.53273200000012</v>
      </c>
      <c r="F23" s="792">
        <f t="shared" si="2"/>
        <v>2885.82</v>
      </c>
      <c r="G23" s="430">
        <v>1095.842048</v>
      </c>
      <c r="H23" s="430">
        <v>284.34946400000001</v>
      </c>
      <c r="I23" s="430">
        <v>543.68848800000012</v>
      </c>
      <c r="J23" s="792">
        <f t="shared" si="3"/>
        <v>1923.88</v>
      </c>
      <c r="K23" s="430">
        <f t="shared" si="5"/>
        <v>2739.6051200000002</v>
      </c>
      <c r="L23" s="430">
        <f t="shared" si="5"/>
        <v>710.87365999999997</v>
      </c>
      <c r="M23" s="430">
        <f t="shared" si="5"/>
        <v>1359.2212200000004</v>
      </c>
      <c r="N23" s="1190"/>
      <c r="O23" s="1190"/>
      <c r="P23" s="1190"/>
      <c r="Q23" s="1190"/>
      <c r="R23" s="1190"/>
      <c r="S23" s="1190"/>
      <c r="T23" s="1190"/>
      <c r="U23" s="1190"/>
      <c r="V23" s="1190"/>
      <c r="W23" s="430">
        <f t="shared" si="1"/>
        <v>2739.6051200000002</v>
      </c>
      <c r="X23" s="430">
        <f t="shared" si="1"/>
        <v>710.87365999999997</v>
      </c>
      <c r="Y23" s="430">
        <f t="shared" si="1"/>
        <v>1359.2212200000004</v>
      </c>
    </row>
    <row r="24" spans="1:25" ht="12.75" customHeight="1" x14ac:dyDescent="0.2">
      <c r="A24" s="157">
        <v>8</v>
      </c>
      <c r="B24" s="158" t="s">
        <v>701</v>
      </c>
      <c r="C24" s="430">
        <v>414.29879999999997</v>
      </c>
      <c r="D24" s="430">
        <v>109.026</v>
      </c>
      <c r="E24" s="430">
        <v>203.51520000000002</v>
      </c>
      <c r="F24" s="792">
        <f t="shared" si="2"/>
        <v>726.84</v>
      </c>
      <c r="G24" s="430">
        <v>276.19919999999996</v>
      </c>
      <c r="H24" s="430">
        <v>72.683999999999997</v>
      </c>
      <c r="I24" s="430">
        <v>135.67680000000001</v>
      </c>
      <c r="J24" s="792">
        <f t="shared" si="3"/>
        <v>484.56</v>
      </c>
      <c r="K24" s="430">
        <f t="shared" si="5"/>
        <v>690.49799999999993</v>
      </c>
      <c r="L24" s="430">
        <f t="shared" si="5"/>
        <v>181.70999999999998</v>
      </c>
      <c r="M24" s="430">
        <f t="shared" si="5"/>
        <v>339.19200000000001</v>
      </c>
      <c r="N24" s="1190"/>
      <c r="O24" s="1190"/>
      <c r="P24" s="1190"/>
      <c r="Q24" s="1190"/>
      <c r="R24" s="1190"/>
      <c r="S24" s="1190"/>
      <c r="T24" s="1190"/>
      <c r="U24" s="1190"/>
      <c r="V24" s="1190"/>
      <c r="W24" s="430">
        <f t="shared" si="1"/>
        <v>690.49799999999993</v>
      </c>
      <c r="X24" s="430">
        <f t="shared" si="1"/>
        <v>181.70999999999998</v>
      </c>
      <c r="Y24" s="430">
        <f t="shared" si="1"/>
        <v>339.19200000000001</v>
      </c>
    </row>
    <row r="25" spans="1:25" s="156" customFormat="1" ht="12.75" customHeight="1" x14ac:dyDescent="0.2">
      <c r="A25" s="1191" t="s">
        <v>1040</v>
      </c>
      <c r="B25" s="1191"/>
      <c r="C25" s="489">
        <f t="shared" ref="C25:M25" si="6">SUM(C22:C24)</f>
        <v>2058.0618720000002</v>
      </c>
      <c r="D25" s="489">
        <f t="shared" si="6"/>
        <v>535.55019599999991</v>
      </c>
      <c r="E25" s="489">
        <f t="shared" si="6"/>
        <v>1019.0479320000002</v>
      </c>
      <c r="F25" s="793">
        <f t="shared" si="2"/>
        <v>3612.6600000000008</v>
      </c>
      <c r="G25" s="489">
        <f t="shared" si="6"/>
        <v>1372.041248</v>
      </c>
      <c r="H25" s="489">
        <f t="shared" si="6"/>
        <v>357.03346399999998</v>
      </c>
      <c r="I25" s="489">
        <f t="shared" si="6"/>
        <v>679.36528800000019</v>
      </c>
      <c r="J25" s="793">
        <f t="shared" si="3"/>
        <v>2408.4400000000005</v>
      </c>
      <c r="K25" s="489">
        <f t="shared" si="6"/>
        <v>3430.1031200000002</v>
      </c>
      <c r="L25" s="489">
        <f t="shared" si="6"/>
        <v>892.58366000000001</v>
      </c>
      <c r="M25" s="489">
        <f t="shared" si="6"/>
        <v>1698.4132200000004</v>
      </c>
      <c r="N25" s="1190"/>
      <c r="O25" s="1190"/>
      <c r="P25" s="1190"/>
      <c r="Q25" s="1190"/>
      <c r="R25" s="1190"/>
      <c r="S25" s="1190"/>
      <c r="T25" s="1190"/>
      <c r="U25" s="1190"/>
      <c r="V25" s="1190"/>
      <c r="W25" s="489">
        <f t="shared" si="1"/>
        <v>3430.1031200000002</v>
      </c>
      <c r="X25" s="489">
        <f t="shared" si="1"/>
        <v>892.58366000000001</v>
      </c>
      <c r="Y25" s="489">
        <f t="shared" si="1"/>
        <v>1698.4132200000004</v>
      </c>
    </row>
    <row r="26" spans="1:25" s="156" customFormat="1" ht="12.75" customHeight="1" x14ac:dyDescent="0.2">
      <c r="A26" s="795"/>
      <c r="B26" s="795"/>
      <c r="C26" s="489"/>
      <c r="D26" s="489"/>
      <c r="E26" s="489"/>
      <c r="F26" s="793">
        <f>F25+F20</f>
        <v>39159.200000000004</v>
      </c>
      <c r="G26" s="489"/>
      <c r="H26" s="489"/>
      <c r="I26" s="489"/>
      <c r="J26" s="793"/>
      <c r="K26" s="489"/>
      <c r="L26" s="489"/>
      <c r="M26" s="489"/>
      <c r="N26" s="1190"/>
      <c r="O26" s="1190"/>
      <c r="P26" s="1190"/>
      <c r="Q26" s="1190"/>
      <c r="R26" s="1190"/>
      <c r="S26" s="1190"/>
      <c r="T26" s="1190"/>
      <c r="U26" s="1190"/>
      <c r="V26" s="1190"/>
      <c r="W26" s="489"/>
      <c r="X26" s="489"/>
      <c r="Y26" s="489"/>
    </row>
    <row r="27" spans="1:25" s="156" customFormat="1" x14ac:dyDescent="0.2">
      <c r="A27" s="612">
        <v>9</v>
      </c>
      <c r="B27" s="158" t="s">
        <v>1094</v>
      </c>
      <c r="C27" s="489">
        <v>1017.9390599999999</v>
      </c>
      <c r="D27" s="489">
        <v>267.87869999999998</v>
      </c>
      <c r="E27" s="489">
        <v>500.04024000000004</v>
      </c>
      <c r="F27" s="792">
        <f t="shared" si="2"/>
        <v>1785.8579999999999</v>
      </c>
      <c r="G27" s="489">
        <v>678.62603999999988</v>
      </c>
      <c r="H27" s="489">
        <v>178.58579999999998</v>
      </c>
      <c r="I27" s="489">
        <v>333.36016000000001</v>
      </c>
      <c r="J27" s="792">
        <f t="shared" si="3"/>
        <v>1190.5719999999999</v>
      </c>
      <c r="K27" s="489">
        <v>1696.5650999999998</v>
      </c>
      <c r="L27" s="489">
        <v>446.46449999999993</v>
      </c>
      <c r="M27" s="489">
        <v>833.40039999999999</v>
      </c>
      <c r="N27" s="1190"/>
      <c r="O27" s="1190"/>
      <c r="P27" s="1190"/>
      <c r="Q27" s="1190"/>
      <c r="R27" s="1190"/>
      <c r="S27" s="1190"/>
      <c r="T27" s="1190"/>
      <c r="U27" s="1190"/>
      <c r="V27" s="1190"/>
      <c r="W27" s="489">
        <f>K27</f>
        <v>1696.5650999999998</v>
      </c>
      <c r="X27" s="489">
        <f>L27</f>
        <v>446.46449999999993</v>
      </c>
      <c r="Y27" s="489">
        <f>M27</f>
        <v>833.40039999999999</v>
      </c>
    </row>
    <row r="28" spans="1:25" s="156" customFormat="1" ht="12.75" customHeight="1" x14ac:dyDescent="0.2">
      <c r="A28" s="1191" t="s">
        <v>1041</v>
      </c>
      <c r="B28" s="1191"/>
      <c r="C28" s="489">
        <f>C20+C25+C27</f>
        <v>23323.310115999997</v>
      </c>
      <c r="D28" s="489">
        <f t="shared" ref="D28:M28" si="7">D20+D25+D27</f>
        <v>6057.2075080000004</v>
      </c>
      <c r="E28" s="489">
        <f t="shared" si="7"/>
        <v>11564.540376000001</v>
      </c>
      <c r="F28" s="793">
        <f t="shared" si="2"/>
        <v>40945.057999999997</v>
      </c>
      <c r="G28" s="489">
        <f t="shared" si="7"/>
        <v>13963.708887999997</v>
      </c>
      <c r="H28" s="489">
        <f t="shared" si="7"/>
        <v>3626.8193139999994</v>
      </c>
      <c r="I28" s="489">
        <f t="shared" si="7"/>
        <v>6923.2337980000002</v>
      </c>
      <c r="J28" s="793">
        <f t="shared" si="3"/>
        <v>24513.761999999999</v>
      </c>
      <c r="K28" s="489">
        <f t="shared" si="7"/>
        <v>37287.019004000002</v>
      </c>
      <c r="L28" s="489">
        <f t="shared" si="7"/>
        <v>9684.0268220000016</v>
      </c>
      <c r="M28" s="489">
        <f t="shared" si="7"/>
        <v>18487.774173999998</v>
      </c>
      <c r="N28" s="1190"/>
      <c r="O28" s="1190"/>
      <c r="P28" s="1190"/>
      <c r="Q28" s="1190"/>
      <c r="R28" s="1190"/>
      <c r="S28" s="1190"/>
      <c r="T28" s="1190"/>
      <c r="U28" s="1190"/>
      <c r="V28" s="1190"/>
      <c r="W28" s="489">
        <f>W20+W25+W27</f>
        <v>37287.019004000002</v>
      </c>
      <c r="X28" s="489">
        <f>X20+X25+X27</f>
        <v>9684.0268220000016</v>
      </c>
      <c r="Y28" s="489">
        <f>Y20+Y25+Y27</f>
        <v>18487.774173999998</v>
      </c>
    </row>
    <row r="29" spans="1:25" x14ac:dyDescent="0.2">
      <c r="A29" s="160"/>
      <c r="B29" s="160"/>
    </row>
    <row r="30" spans="1:25" x14ac:dyDescent="0.2">
      <c r="F30" s="431"/>
    </row>
    <row r="31" spans="1:25" x14ac:dyDescent="0.2">
      <c r="B31" s="149" t="s">
        <v>10</v>
      </c>
    </row>
    <row r="33" spans="1:25" x14ac:dyDescent="0.2">
      <c r="A33" s="1193"/>
      <c r="B33" s="1193"/>
      <c r="C33" s="1193"/>
      <c r="D33" s="1193"/>
      <c r="E33" s="1193"/>
      <c r="F33" s="1193"/>
      <c r="G33" s="1193"/>
      <c r="H33" s="1193"/>
      <c r="I33" s="1193"/>
      <c r="J33" s="1193"/>
      <c r="K33" s="1193"/>
      <c r="L33" s="486"/>
      <c r="M33" s="560"/>
      <c r="N33" s="560"/>
      <c r="O33" s="560"/>
      <c r="P33" s="560"/>
      <c r="Q33" s="1193"/>
      <c r="R33" s="1193"/>
      <c r="S33" s="1193"/>
      <c r="T33" s="1193"/>
      <c r="U33" s="1193"/>
      <c r="V33" s="1193"/>
      <c r="W33" s="1193"/>
    </row>
    <row r="35" spans="1:25" ht="15.75" x14ac:dyDescent="0.25">
      <c r="A35" s="161" t="s">
        <v>11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T35" s="1194" t="s">
        <v>12</v>
      </c>
      <c r="U35" s="1194"/>
      <c r="V35" s="1194"/>
      <c r="W35" s="1194"/>
    </row>
    <row r="36" spans="1:25" ht="15.75" x14ac:dyDescent="0.2">
      <c r="A36" s="1195" t="s">
        <v>13</v>
      </c>
      <c r="B36" s="1195"/>
      <c r="C36" s="1195"/>
      <c r="D36" s="1195"/>
      <c r="E36" s="1195"/>
      <c r="F36" s="1195"/>
      <c r="G36" s="1195"/>
      <c r="H36" s="1195"/>
      <c r="I36" s="1195"/>
      <c r="J36" s="1195"/>
      <c r="K36" s="1195"/>
      <c r="L36" s="1195"/>
      <c r="M36" s="1195"/>
      <c r="N36" s="1195"/>
      <c r="O36" s="1195"/>
      <c r="P36" s="1195"/>
      <c r="Q36" s="1195"/>
      <c r="R36" s="1195"/>
      <c r="S36" s="1195"/>
      <c r="T36" s="1195"/>
      <c r="U36" s="1195"/>
      <c r="V36" s="1195"/>
      <c r="W36" s="1195"/>
    </row>
    <row r="37" spans="1:25" ht="15.75" x14ac:dyDescent="0.2">
      <c r="A37" s="1195" t="s">
        <v>14</v>
      </c>
      <c r="B37" s="1195"/>
      <c r="C37" s="1195"/>
      <c r="D37" s="1195"/>
      <c r="E37" s="1195"/>
      <c r="F37" s="1195"/>
      <c r="G37" s="1195"/>
      <c r="H37" s="1195"/>
      <c r="I37" s="1195"/>
      <c r="J37" s="1195"/>
      <c r="K37" s="1195"/>
      <c r="L37" s="1195"/>
      <c r="M37" s="1195"/>
      <c r="N37" s="1195"/>
      <c r="O37" s="1195"/>
      <c r="P37" s="1195"/>
      <c r="Q37" s="1195"/>
      <c r="R37" s="1195"/>
      <c r="S37" s="1195"/>
      <c r="T37" s="1195"/>
      <c r="U37" s="1195"/>
      <c r="V37" s="1195"/>
      <c r="W37" s="1195"/>
    </row>
    <row r="38" spans="1:25" x14ac:dyDescent="0.2">
      <c r="T38" s="1186" t="s">
        <v>84</v>
      </c>
      <c r="U38" s="1186"/>
      <c r="V38" s="1186"/>
      <c r="W38" s="1186"/>
      <c r="X38" s="1186"/>
      <c r="Y38" s="1186"/>
    </row>
    <row r="40" spans="1:25" hidden="1" x14ac:dyDescent="0.2"/>
    <row r="41" spans="1:25" hidden="1" x14ac:dyDescent="0.2">
      <c r="H41" s="431">
        <v>56.96</v>
      </c>
      <c r="I41" s="431">
        <v>14.78</v>
      </c>
      <c r="J41" s="431"/>
      <c r="K41" s="431">
        <v>28.26</v>
      </c>
      <c r="L41" s="485">
        <v>2885.82</v>
      </c>
      <c r="M41" s="149">
        <f>H41/100*L41</f>
        <v>1643.7630720000002</v>
      </c>
      <c r="N41" s="149">
        <f>I41/100*L41</f>
        <v>426.52419599999996</v>
      </c>
      <c r="O41" s="149">
        <f>K41/100*L41</f>
        <v>815.53273200000012</v>
      </c>
    </row>
    <row r="42" spans="1:25" hidden="1" x14ac:dyDescent="0.2">
      <c r="L42" s="485">
        <v>1923.88</v>
      </c>
      <c r="M42" s="149">
        <f>H41/100*L42</f>
        <v>1095.842048</v>
      </c>
      <c r="N42" s="149">
        <f>I41/100*L42</f>
        <v>284.34946400000001</v>
      </c>
      <c r="O42" s="149">
        <f>K41/100*L42</f>
        <v>543.68848800000012</v>
      </c>
    </row>
    <row r="43" spans="1:25" hidden="1" x14ac:dyDescent="0.2"/>
    <row r="44" spans="1:25" hidden="1" x14ac:dyDescent="0.2">
      <c r="E44" s="149" t="s">
        <v>1036</v>
      </c>
      <c r="H44" s="483">
        <v>56.96</v>
      </c>
      <c r="I44" s="483">
        <v>14.78</v>
      </c>
      <c r="J44" s="483"/>
      <c r="K44" s="483">
        <v>28.26</v>
      </c>
      <c r="L44" s="487">
        <v>25826.25</v>
      </c>
      <c r="M44" s="483">
        <f>H44/100*L44</f>
        <v>14710.632</v>
      </c>
      <c r="N44" s="483">
        <f>I44/100*L44</f>
        <v>3817.1197499999998</v>
      </c>
      <c r="O44" s="483">
        <f>K44/100*L44</f>
        <v>7298.4982500000006</v>
      </c>
    </row>
    <row r="45" spans="1:25" hidden="1" x14ac:dyDescent="0.2">
      <c r="E45" s="149" t="s">
        <v>1037</v>
      </c>
      <c r="H45" s="484"/>
      <c r="I45" s="484"/>
      <c r="J45" s="484"/>
      <c r="K45" s="484"/>
      <c r="L45" s="487">
        <v>17181.259999999998</v>
      </c>
      <c r="M45" s="483">
        <f>H44/100*L45</f>
        <v>9786.4456959999989</v>
      </c>
      <c r="N45" s="483">
        <f>I44/100*L45</f>
        <v>2539.3902279999998</v>
      </c>
      <c r="O45" s="483">
        <f>K44/100*L45</f>
        <v>4855.4240760000002</v>
      </c>
    </row>
    <row r="46" spans="1:25" hidden="1" x14ac:dyDescent="0.2">
      <c r="L46" s="488"/>
    </row>
    <row r="47" spans="1:25" hidden="1" x14ac:dyDescent="0.2">
      <c r="E47" s="149" t="s">
        <v>1033</v>
      </c>
      <c r="H47" s="483">
        <v>56.96</v>
      </c>
      <c r="I47" s="483">
        <v>14.78</v>
      </c>
      <c r="J47" s="483"/>
      <c r="K47" s="483">
        <v>28.26</v>
      </c>
      <c r="L47" s="487">
        <v>2881.66</v>
      </c>
      <c r="M47" s="483">
        <f>H47/100*L47</f>
        <v>1641.3935359999998</v>
      </c>
      <c r="N47" s="483">
        <f>I47/100*L47</f>
        <v>425.90934799999997</v>
      </c>
      <c r="O47" s="483">
        <f>K47/100*L47</f>
        <v>814.35711600000002</v>
      </c>
    </row>
    <row r="48" spans="1:25" hidden="1" x14ac:dyDescent="0.2">
      <c r="H48" s="484"/>
      <c r="I48" s="484"/>
      <c r="J48" s="484"/>
      <c r="K48" s="484"/>
      <c r="L48" s="487"/>
      <c r="M48" s="483"/>
      <c r="N48" s="483"/>
      <c r="O48" s="483"/>
    </row>
    <row r="49" spans="5:15" hidden="1" x14ac:dyDescent="0.2">
      <c r="E49" s="149" t="s">
        <v>1034</v>
      </c>
      <c r="H49" s="483">
        <v>56.96</v>
      </c>
      <c r="I49" s="483">
        <v>14.78</v>
      </c>
      <c r="J49" s="483"/>
      <c r="K49" s="483">
        <v>28.26</v>
      </c>
      <c r="L49" s="487">
        <v>4775.46</v>
      </c>
      <c r="M49" s="483">
        <f>H49/100*L49</f>
        <v>2720.1020159999998</v>
      </c>
      <c r="N49" s="483">
        <f>I49/100*L49</f>
        <v>705.8129879999999</v>
      </c>
      <c r="O49" s="483">
        <f>K49/100*L49</f>
        <v>1349.5449960000001</v>
      </c>
    </row>
    <row r="50" spans="5:15" hidden="1" x14ac:dyDescent="0.2">
      <c r="E50" s="149" t="s">
        <v>1035</v>
      </c>
      <c r="H50" s="484"/>
      <c r="I50" s="484"/>
      <c r="J50" s="484"/>
      <c r="K50" s="484"/>
      <c r="L50" s="487">
        <v>3183.64</v>
      </c>
      <c r="M50" s="483">
        <f>H49/100*L50</f>
        <v>1813.4013439999999</v>
      </c>
      <c r="N50" s="483">
        <f>I49/100*L50</f>
        <v>470.54199199999994</v>
      </c>
      <c r="O50" s="483">
        <f>K49/100*L50</f>
        <v>899.69666400000006</v>
      </c>
    </row>
    <row r="51" spans="5:15" hidden="1" x14ac:dyDescent="0.2"/>
    <row r="52" spans="5:15" hidden="1" x14ac:dyDescent="0.2">
      <c r="E52" s="149" t="s">
        <v>1021</v>
      </c>
      <c r="H52" s="483">
        <v>56.96</v>
      </c>
      <c r="I52" s="483">
        <v>14.78</v>
      </c>
      <c r="J52" s="483"/>
      <c r="K52" s="483">
        <v>28.26</v>
      </c>
      <c r="L52" s="487">
        <v>1128.6500000000001</v>
      </c>
      <c r="M52" s="483">
        <f>H52/100*L52</f>
        <v>642.87904000000003</v>
      </c>
      <c r="N52" s="483">
        <f>I52/100*L52</f>
        <v>166.81447</v>
      </c>
      <c r="O52" s="483">
        <f>K52/100*L52</f>
        <v>318.95649000000003</v>
      </c>
    </row>
    <row r="53" spans="5:15" hidden="1" x14ac:dyDescent="0.2"/>
    <row r="54" spans="5:15" hidden="1" x14ac:dyDescent="0.2">
      <c r="E54" s="149" t="s">
        <v>1038</v>
      </c>
      <c r="H54" s="483">
        <v>56.96</v>
      </c>
      <c r="I54" s="483">
        <v>14.78</v>
      </c>
      <c r="J54" s="483"/>
      <c r="K54" s="483">
        <v>28.26</v>
      </c>
      <c r="L54" s="487">
        <v>934.52</v>
      </c>
      <c r="M54" s="483">
        <f>H54/100*L54</f>
        <v>532.302592</v>
      </c>
      <c r="N54" s="483">
        <f>I54/100*L54</f>
        <v>138.12205599999999</v>
      </c>
      <c r="O54" s="483">
        <f>K54/100*L54</f>
        <v>264.09535199999999</v>
      </c>
    </row>
    <row r="55" spans="5:15" hidden="1" x14ac:dyDescent="0.2">
      <c r="E55" s="149" t="s">
        <v>1039</v>
      </c>
      <c r="H55" s="484"/>
      <c r="I55" s="484"/>
      <c r="J55" s="484"/>
      <c r="K55" s="484"/>
      <c r="L55" s="487">
        <v>549.85</v>
      </c>
      <c r="M55" s="483">
        <f>H54/100*L55</f>
        <v>313.19456000000002</v>
      </c>
      <c r="N55" s="483">
        <f>I54/100*L55</f>
        <v>81.267829999999989</v>
      </c>
      <c r="O55" s="483">
        <f>K54/100*L55</f>
        <v>155.38761000000002</v>
      </c>
    </row>
    <row r="56" spans="5:15" hidden="1" x14ac:dyDescent="0.2"/>
    <row r="57" spans="5:15" hidden="1" x14ac:dyDescent="0.2"/>
  </sheetData>
  <mergeCells count="28">
    <mergeCell ref="X9:Y9"/>
    <mergeCell ref="A10:A11"/>
    <mergeCell ref="B10:B11"/>
    <mergeCell ref="C10:M10"/>
    <mergeCell ref="N10:V10"/>
    <mergeCell ref="W10:Y11"/>
    <mergeCell ref="T11:V11"/>
    <mergeCell ref="Q1:W1"/>
    <mergeCell ref="B4:W4"/>
    <mergeCell ref="B6:W6"/>
    <mergeCell ref="A8:B8"/>
    <mergeCell ref="C11:E11"/>
    <mergeCell ref="G11:I11"/>
    <mergeCell ref="K11:M11"/>
    <mergeCell ref="N11:P11"/>
    <mergeCell ref="Q11:S11"/>
    <mergeCell ref="T38:Y38"/>
    <mergeCell ref="A14:Y14"/>
    <mergeCell ref="N15:V28"/>
    <mergeCell ref="A20:B20"/>
    <mergeCell ref="A21:B21"/>
    <mergeCell ref="A25:B25"/>
    <mergeCell ref="A28:B28"/>
    <mergeCell ref="A33:K33"/>
    <mergeCell ref="Q33:W33"/>
    <mergeCell ref="T35:W35"/>
    <mergeCell ref="A36:W36"/>
    <mergeCell ref="A37:W37"/>
  </mergeCells>
  <printOptions horizontalCentered="1"/>
  <pageMargins left="0.32" right="0.17" top="0.23622047244094491" bottom="0" header="0.25" footer="0.31496062992125984"/>
  <pageSetup paperSize="9" scale="69" orientation="landscape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5"/>
  <sheetViews>
    <sheetView topLeftCell="A10" zoomScale="90" zoomScaleNormal="90" zoomScaleSheetLayoutView="100" workbookViewId="0">
      <selection activeCell="K24" sqref="K24"/>
    </sheetView>
  </sheetViews>
  <sheetFormatPr defaultColWidth="9.140625" defaultRowHeight="12.75" x14ac:dyDescent="0.2"/>
  <cols>
    <col min="1" max="1" width="8.28515625" style="81" customWidth="1"/>
    <col min="2" max="2" width="17.42578125" style="81" customWidth="1"/>
    <col min="3" max="3" width="15.28515625" style="81" customWidth="1"/>
    <col min="4" max="4" width="15.140625" style="81" customWidth="1"/>
    <col min="5" max="5" width="16.140625" style="81" customWidth="1"/>
    <col min="6" max="6" width="16" style="81" customWidth="1"/>
    <col min="7" max="8" width="17.140625" style="81" customWidth="1"/>
    <col min="9" max="9" width="15" style="81" customWidth="1"/>
    <col min="10" max="10" width="15.5703125" style="81" customWidth="1"/>
    <col min="11" max="11" width="18.7109375" style="81" bestFit="1" customWidth="1"/>
    <col min="12" max="12" width="13.28515625" style="81" customWidth="1"/>
    <col min="13" max="16384" width="9.140625" style="81"/>
  </cols>
  <sheetData>
    <row r="1" spans="1:12" ht="18" x14ac:dyDescent="0.35">
      <c r="A1" s="908" t="s">
        <v>0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251" t="s">
        <v>883</v>
      </c>
    </row>
    <row r="2" spans="1:12" ht="21" x14ac:dyDescent="0.35">
      <c r="A2" s="909" t="s">
        <v>740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</row>
    <row r="3" spans="1:12" ht="15" x14ac:dyDescent="0.3">
      <c r="A3" s="252"/>
      <c r="B3" s="252"/>
    </row>
    <row r="4" spans="1:12" ht="18" customHeight="1" x14ac:dyDescent="0.35">
      <c r="A4" s="910" t="s">
        <v>882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</row>
    <row r="5" spans="1:12" ht="15" x14ac:dyDescent="0.3">
      <c r="A5" s="253" t="s">
        <v>249</v>
      </c>
      <c r="B5" s="253"/>
    </row>
    <row r="6" spans="1:12" ht="15" x14ac:dyDescent="0.3">
      <c r="A6" s="253"/>
      <c r="B6" s="253"/>
    </row>
    <row r="7" spans="1:12" ht="15" x14ac:dyDescent="0.3">
      <c r="A7" s="907" t="s">
        <v>884</v>
      </c>
      <c r="B7" s="907"/>
      <c r="C7" s="907"/>
      <c r="D7" s="88"/>
      <c r="K7" s="911" t="s">
        <v>891</v>
      </c>
      <c r="L7" s="911"/>
    </row>
    <row r="8" spans="1:12" ht="15" x14ac:dyDescent="0.3">
      <c r="A8" s="907" t="s">
        <v>892</v>
      </c>
      <c r="B8" s="907"/>
      <c r="C8" s="907"/>
      <c r="D8" s="88"/>
      <c r="K8" s="254"/>
      <c r="L8" s="254"/>
    </row>
    <row r="9" spans="1:12" ht="15" x14ac:dyDescent="0.3">
      <c r="A9" s="253"/>
      <c r="B9" s="253"/>
      <c r="J9" s="912" t="s">
        <v>830</v>
      </c>
      <c r="K9" s="912"/>
      <c r="L9" s="912"/>
    </row>
    <row r="10" spans="1:12" ht="49.5" customHeight="1" x14ac:dyDescent="0.2">
      <c r="A10" s="913" t="s">
        <v>2</v>
      </c>
      <c r="B10" s="914" t="s">
        <v>75</v>
      </c>
      <c r="C10" s="915" t="s">
        <v>939</v>
      </c>
      <c r="D10" s="915"/>
      <c r="E10" s="915"/>
      <c r="F10" s="915"/>
      <c r="G10" s="915" t="s">
        <v>866</v>
      </c>
      <c r="H10" s="915"/>
      <c r="I10" s="915"/>
      <c r="J10" s="915"/>
      <c r="K10" s="915" t="s">
        <v>870</v>
      </c>
      <c r="L10" s="915" t="s">
        <v>867</v>
      </c>
    </row>
    <row r="11" spans="1:12" s="251" customFormat="1" ht="76.5" customHeight="1" x14ac:dyDescent="0.25">
      <c r="A11" s="913"/>
      <c r="B11" s="914"/>
      <c r="C11" s="255" t="s">
        <v>871</v>
      </c>
      <c r="D11" s="256" t="s">
        <v>868</v>
      </c>
      <c r="E11" s="256" t="s">
        <v>869</v>
      </c>
      <c r="F11" s="255" t="s">
        <v>872</v>
      </c>
      <c r="G11" s="255" t="s">
        <v>871</v>
      </c>
      <c r="H11" s="256" t="s">
        <v>868</v>
      </c>
      <c r="I11" s="256" t="s">
        <v>869</v>
      </c>
      <c r="J11" s="255" t="s">
        <v>872</v>
      </c>
      <c r="K11" s="915"/>
      <c r="L11" s="915"/>
    </row>
    <row r="12" spans="1:12" s="251" customFormat="1" ht="15" x14ac:dyDescent="0.25">
      <c r="A12" s="257">
        <v>1</v>
      </c>
      <c r="B12" s="258">
        <v>2</v>
      </c>
      <c r="C12" s="259">
        <v>3</v>
      </c>
      <c r="D12" s="258">
        <v>4</v>
      </c>
      <c r="E12" s="258">
        <v>5</v>
      </c>
      <c r="F12" s="259">
        <v>6</v>
      </c>
      <c r="G12" s="258">
        <v>7</v>
      </c>
      <c r="H12" s="258">
        <v>8</v>
      </c>
      <c r="I12" s="259">
        <v>9</v>
      </c>
      <c r="J12" s="258">
        <v>10</v>
      </c>
      <c r="K12" s="258">
        <v>11</v>
      </c>
      <c r="L12" s="259">
        <v>12</v>
      </c>
    </row>
    <row r="13" spans="1:12" x14ac:dyDescent="0.2">
      <c r="A13" s="87">
        <v>1</v>
      </c>
      <c r="B13" s="260" t="s">
        <v>873</v>
      </c>
      <c r="C13" s="460">
        <v>0</v>
      </c>
      <c r="D13" s="460">
        <v>0</v>
      </c>
      <c r="E13" s="460">
        <v>0</v>
      </c>
      <c r="F13" s="460">
        <f>79591*600</f>
        <v>47754600</v>
      </c>
      <c r="G13" s="460">
        <v>71031</v>
      </c>
      <c r="H13" s="460">
        <v>71031</v>
      </c>
      <c r="I13" s="460">
        <v>0</v>
      </c>
      <c r="J13" s="460">
        <v>198047893.02875</v>
      </c>
      <c r="K13" s="460">
        <f>F13+J13</f>
        <v>245802493.02875</v>
      </c>
      <c r="L13" s="260"/>
    </row>
    <row r="14" spans="1:12" x14ac:dyDescent="0.2">
      <c r="A14" s="87">
        <v>2</v>
      </c>
      <c r="B14" s="88" t="s">
        <v>874</v>
      </c>
      <c r="C14" s="460">
        <v>0</v>
      </c>
      <c r="D14" s="460">
        <v>0</v>
      </c>
      <c r="E14" s="460">
        <v>0</v>
      </c>
      <c r="F14" s="460">
        <f t="shared" ref="F14:F21" si="0">79591*600</f>
        <v>47754600</v>
      </c>
      <c r="G14" s="460">
        <v>111548600</v>
      </c>
      <c r="H14" s="460">
        <v>111548600</v>
      </c>
      <c r="I14" s="460">
        <v>0</v>
      </c>
      <c r="J14" s="443">
        <v>76988360.950000003</v>
      </c>
      <c r="K14" s="460">
        <f t="shared" ref="K14:K21" si="1">F14+J14</f>
        <v>124742960.95</v>
      </c>
      <c r="L14" s="88"/>
    </row>
    <row r="15" spans="1:12" x14ac:dyDescent="0.2">
      <c r="A15" s="87">
        <v>3</v>
      </c>
      <c r="B15" s="88" t="s">
        <v>875</v>
      </c>
      <c r="C15" s="460">
        <v>0</v>
      </c>
      <c r="D15" s="460">
        <v>0</v>
      </c>
      <c r="E15" s="460">
        <v>0</v>
      </c>
      <c r="F15" s="460">
        <f t="shared" si="0"/>
        <v>47754600</v>
      </c>
      <c r="G15" s="460">
        <v>286414</v>
      </c>
      <c r="H15" s="460">
        <v>286414</v>
      </c>
      <c r="I15" s="460">
        <v>0</v>
      </c>
      <c r="J15" s="443">
        <v>156822074.20000002</v>
      </c>
      <c r="K15" s="460">
        <f t="shared" si="1"/>
        <v>204576674.20000002</v>
      </c>
      <c r="L15" s="88"/>
    </row>
    <row r="16" spans="1:12" x14ac:dyDescent="0.2">
      <c r="A16" s="87">
        <v>4</v>
      </c>
      <c r="B16" s="88" t="s">
        <v>876</v>
      </c>
      <c r="C16" s="460">
        <v>139394233</v>
      </c>
      <c r="D16" s="460">
        <v>139394233</v>
      </c>
      <c r="E16" s="460">
        <v>0</v>
      </c>
      <c r="F16" s="460">
        <f t="shared" si="0"/>
        <v>47754600</v>
      </c>
      <c r="G16" s="460">
        <v>48120904</v>
      </c>
      <c r="H16" s="460">
        <v>48120904</v>
      </c>
      <c r="I16" s="460">
        <v>0</v>
      </c>
      <c r="J16" s="443">
        <v>272986687.40250003</v>
      </c>
      <c r="K16" s="460">
        <f t="shared" si="1"/>
        <v>320741287.40250003</v>
      </c>
      <c r="L16" s="88"/>
    </row>
    <row r="17" spans="1:12" x14ac:dyDescent="0.2">
      <c r="A17" s="87">
        <v>5</v>
      </c>
      <c r="B17" s="88" t="s">
        <v>877</v>
      </c>
      <c r="C17" s="460">
        <v>0</v>
      </c>
      <c r="D17" s="460">
        <v>0</v>
      </c>
      <c r="E17" s="460">
        <v>0</v>
      </c>
      <c r="F17" s="460">
        <f t="shared" si="0"/>
        <v>47754600</v>
      </c>
      <c r="G17" s="460">
        <v>67632170</v>
      </c>
      <c r="H17" s="460">
        <v>67632170</v>
      </c>
      <c r="I17" s="460">
        <v>0</v>
      </c>
      <c r="J17" s="443">
        <v>233704464.96000001</v>
      </c>
      <c r="K17" s="460">
        <f t="shared" si="1"/>
        <v>281459064.96000004</v>
      </c>
      <c r="L17" s="88"/>
    </row>
    <row r="18" spans="1:12" x14ac:dyDescent="0.2">
      <c r="A18" s="87">
        <v>6</v>
      </c>
      <c r="B18" s="88" t="s">
        <v>878</v>
      </c>
      <c r="C18" s="460">
        <v>0</v>
      </c>
      <c r="D18" s="460">
        <v>0</v>
      </c>
      <c r="E18" s="460">
        <v>0</v>
      </c>
      <c r="F18" s="460">
        <f t="shared" si="0"/>
        <v>47754600</v>
      </c>
      <c r="G18" s="460">
        <v>606538147</v>
      </c>
      <c r="H18" s="460">
        <v>606538147</v>
      </c>
      <c r="I18" s="460">
        <v>0</v>
      </c>
      <c r="J18" s="443">
        <v>212691674.95249999</v>
      </c>
      <c r="K18" s="460">
        <f t="shared" si="1"/>
        <v>260446274.95249999</v>
      </c>
      <c r="L18" s="88"/>
    </row>
    <row r="19" spans="1:12" x14ac:dyDescent="0.2">
      <c r="A19" s="87">
        <v>7</v>
      </c>
      <c r="B19" s="88" t="s">
        <v>879</v>
      </c>
      <c r="C19" s="460">
        <v>95509200</v>
      </c>
      <c r="D19" s="460">
        <v>95509200</v>
      </c>
      <c r="E19" s="460">
        <v>0</v>
      </c>
      <c r="F19" s="460">
        <f t="shared" si="0"/>
        <v>47754600</v>
      </c>
      <c r="G19" s="460">
        <v>10121969</v>
      </c>
      <c r="H19" s="460">
        <v>10121969</v>
      </c>
      <c r="I19" s="460">
        <v>0</v>
      </c>
      <c r="J19" s="443">
        <v>176617160.535</v>
      </c>
      <c r="K19" s="460">
        <f t="shared" si="1"/>
        <v>224371760.535</v>
      </c>
      <c r="L19" s="88"/>
    </row>
    <row r="20" spans="1:12" x14ac:dyDescent="0.2">
      <c r="A20" s="87">
        <v>8</v>
      </c>
      <c r="B20" s="88" t="s">
        <v>880</v>
      </c>
      <c r="C20" s="460">
        <v>0</v>
      </c>
      <c r="D20" s="460">
        <v>0</v>
      </c>
      <c r="E20" s="460">
        <v>0</v>
      </c>
      <c r="F20" s="460">
        <f t="shared" si="0"/>
        <v>47754600</v>
      </c>
      <c r="G20" s="460">
        <v>387331434</v>
      </c>
      <c r="H20" s="460">
        <v>387331434</v>
      </c>
      <c r="I20" s="460">
        <v>0</v>
      </c>
      <c r="J20" s="443">
        <v>230634849.0325</v>
      </c>
      <c r="K20" s="460">
        <f t="shared" si="1"/>
        <v>278389449.03250003</v>
      </c>
      <c r="L20" s="88"/>
    </row>
    <row r="21" spans="1:12" x14ac:dyDescent="0.2">
      <c r="A21" s="87">
        <v>9</v>
      </c>
      <c r="B21" s="88" t="s">
        <v>881</v>
      </c>
      <c r="C21" s="460">
        <v>0</v>
      </c>
      <c r="D21" s="460">
        <v>0</v>
      </c>
      <c r="E21" s="460">
        <v>0</v>
      </c>
      <c r="F21" s="460">
        <f t="shared" si="0"/>
        <v>47754600</v>
      </c>
      <c r="G21" s="460">
        <v>817203</v>
      </c>
      <c r="H21" s="460">
        <v>817203</v>
      </c>
      <c r="I21" s="460">
        <v>0</v>
      </c>
      <c r="J21" s="443">
        <v>192998963.4425</v>
      </c>
      <c r="K21" s="460">
        <f t="shared" si="1"/>
        <v>240753563.4425</v>
      </c>
      <c r="L21" s="88"/>
    </row>
    <row r="22" spans="1:12" s="90" customFormat="1" x14ac:dyDescent="0.2">
      <c r="A22" s="905" t="s">
        <v>18</v>
      </c>
      <c r="B22" s="906"/>
      <c r="C22" s="461">
        <f t="shared" ref="C22:K22" si="2">SUM(C13:C21)</f>
        <v>234903433</v>
      </c>
      <c r="D22" s="461">
        <f t="shared" si="2"/>
        <v>234903433</v>
      </c>
      <c r="E22" s="461">
        <f t="shared" si="2"/>
        <v>0</v>
      </c>
      <c r="F22" s="461">
        <f t="shared" si="2"/>
        <v>429791400</v>
      </c>
      <c r="G22" s="461">
        <f t="shared" si="2"/>
        <v>1232467872</v>
      </c>
      <c r="H22" s="446">
        <f t="shared" si="2"/>
        <v>1232467872</v>
      </c>
      <c r="I22" s="446">
        <f t="shared" si="2"/>
        <v>0</v>
      </c>
      <c r="J22" s="446">
        <f t="shared" si="2"/>
        <v>1751492128.5037503</v>
      </c>
      <c r="K22" s="446">
        <f t="shared" si="2"/>
        <v>2181283528.5037503</v>
      </c>
      <c r="L22" s="419"/>
    </row>
    <row r="24" spans="1:12" ht="15" customHeight="1" x14ac:dyDescent="0.25">
      <c r="A24" s="261" t="s">
        <v>885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454">
        <f>K22/100000</f>
        <v>21812.835285037505</v>
      </c>
    </row>
    <row r="25" spans="1:12" ht="15" customHeight="1" x14ac:dyDescent="0.2">
      <c r="A25" s="901" t="s">
        <v>893</v>
      </c>
      <c r="B25" s="901"/>
      <c r="C25" s="901"/>
      <c r="D25" s="901"/>
      <c r="E25" s="901"/>
      <c r="F25" s="901"/>
      <c r="G25" s="901"/>
      <c r="H25" s="901"/>
      <c r="I25" s="901"/>
      <c r="J25" s="901"/>
    </row>
    <row r="26" spans="1:12" ht="15" customHeight="1" x14ac:dyDescent="0.2">
      <c r="A26" s="901" t="s">
        <v>894</v>
      </c>
      <c r="B26" s="901"/>
      <c r="C26" s="901"/>
      <c r="D26" s="901"/>
      <c r="E26" s="262"/>
      <c r="F26" s="262"/>
      <c r="G26" s="262"/>
      <c r="H26" s="262"/>
      <c r="I26" s="262"/>
      <c r="J26" s="262"/>
    </row>
    <row r="27" spans="1:12" ht="15" customHeight="1" x14ac:dyDescent="0.2">
      <c r="A27" s="901" t="s">
        <v>895</v>
      </c>
      <c r="B27" s="901"/>
      <c r="C27" s="901"/>
      <c r="D27" s="901"/>
      <c r="E27" s="901"/>
      <c r="F27" s="901"/>
      <c r="G27" s="901"/>
      <c r="H27" s="901"/>
      <c r="I27" s="901"/>
      <c r="J27" s="901"/>
    </row>
    <row r="28" spans="1:12" ht="13.5" customHeight="1" x14ac:dyDescent="0.2">
      <c r="A28" s="902"/>
      <c r="B28" s="903"/>
      <c r="C28" s="903"/>
      <c r="D28" s="903"/>
      <c r="E28" s="903"/>
      <c r="F28" s="903"/>
      <c r="G28" s="903"/>
      <c r="H28" s="903"/>
      <c r="I28" s="901"/>
      <c r="J28" s="901"/>
    </row>
    <row r="29" spans="1:12" ht="15" customHeight="1" x14ac:dyDescent="0.2">
      <c r="A29" s="263"/>
      <c r="B29" s="264"/>
      <c r="C29" s="264"/>
      <c r="D29" s="264"/>
      <c r="E29" s="264"/>
      <c r="F29" s="264"/>
      <c r="G29" s="264"/>
      <c r="H29" s="264"/>
      <c r="I29" s="263"/>
      <c r="J29" s="263"/>
    </row>
    <row r="30" spans="1:12" ht="15" customHeight="1" x14ac:dyDescent="0.2">
      <c r="A30" s="263"/>
      <c r="B30" s="264"/>
      <c r="C30" s="264"/>
      <c r="D30" s="264"/>
      <c r="E30" s="264"/>
      <c r="F30" s="264"/>
      <c r="G30" s="264"/>
      <c r="H30" s="264"/>
      <c r="I30" s="263"/>
      <c r="J30" s="263"/>
    </row>
    <row r="31" spans="1:12" ht="15" customHeight="1" x14ac:dyDescent="0.2">
      <c r="A31" s="263"/>
      <c r="B31" s="264"/>
      <c r="C31" s="264"/>
      <c r="D31" s="264"/>
      <c r="E31" s="264"/>
      <c r="F31" s="264"/>
      <c r="G31" s="264"/>
      <c r="H31" s="264"/>
      <c r="I31" s="263"/>
      <c r="J31" s="263"/>
    </row>
    <row r="32" spans="1:12" ht="15" customHeight="1" x14ac:dyDescent="0.2">
      <c r="A32" s="265"/>
      <c r="B32" s="265"/>
      <c r="C32" s="265"/>
      <c r="D32" s="265"/>
      <c r="E32" s="265"/>
      <c r="I32" s="899" t="s">
        <v>13</v>
      </c>
      <c r="J32" s="899"/>
      <c r="K32" s="899"/>
    </row>
    <row r="33" spans="1:11" ht="15" customHeight="1" x14ac:dyDescent="0.2">
      <c r="A33" s="265"/>
      <c r="B33" s="265"/>
      <c r="C33" s="265"/>
      <c r="D33" s="265"/>
      <c r="E33" s="265"/>
      <c r="I33" s="904" t="s">
        <v>87</v>
      </c>
      <c r="J33" s="904"/>
      <c r="K33" s="904"/>
    </row>
    <row r="34" spans="1:11" x14ac:dyDescent="0.2">
      <c r="A34" s="265" t="s">
        <v>11</v>
      </c>
      <c r="C34" s="265"/>
      <c r="D34" s="265"/>
      <c r="E34" s="265"/>
      <c r="I34" s="900" t="s">
        <v>84</v>
      </c>
      <c r="J34" s="900"/>
      <c r="K34" s="266"/>
    </row>
    <row r="35" spans="1:11" x14ac:dyDescent="0.2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</row>
  </sheetData>
  <mergeCells count="24">
    <mergeCell ref="A22:B22"/>
    <mergeCell ref="A8:C8"/>
    <mergeCell ref="A1:K1"/>
    <mergeCell ref="A2:L2"/>
    <mergeCell ref="A4:L4"/>
    <mergeCell ref="A7:C7"/>
    <mergeCell ref="K7:L7"/>
    <mergeCell ref="J9:L9"/>
    <mergeCell ref="A10:A11"/>
    <mergeCell ref="B10:B11"/>
    <mergeCell ref="C10:F10"/>
    <mergeCell ref="G10:J10"/>
    <mergeCell ref="K10:K11"/>
    <mergeCell ref="L10:L11"/>
    <mergeCell ref="I32:K32"/>
    <mergeCell ref="I34:J34"/>
    <mergeCell ref="A25:J25"/>
    <mergeCell ref="A26:D26"/>
    <mergeCell ref="A27:D27"/>
    <mergeCell ref="E27:H27"/>
    <mergeCell ref="I27:J27"/>
    <mergeCell ref="A28:H28"/>
    <mergeCell ref="I28:J28"/>
    <mergeCell ref="I33:K33"/>
  </mergeCells>
  <printOptions horizontalCentered="1"/>
  <pageMargins left="0.37" right="0.37" top="0.48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AK63"/>
  <sheetViews>
    <sheetView topLeftCell="A4" zoomScaleSheetLayoutView="115" workbookViewId="0">
      <selection activeCell="C29" sqref="C29"/>
    </sheetView>
  </sheetViews>
  <sheetFormatPr defaultColWidth="9.140625" defaultRowHeight="12.75" x14ac:dyDescent="0.2"/>
  <cols>
    <col min="1" max="1" width="7.42578125" style="143" customWidth="1"/>
    <col min="2" max="2" width="17.140625" style="143" customWidth="1"/>
    <col min="3" max="3" width="11" style="143" customWidth="1"/>
    <col min="4" max="5" width="11.140625" style="143" customWidth="1"/>
    <col min="6" max="6" width="12.140625" style="143" customWidth="1"/>
    <col min="7" max="7" width="13.28515625" style="143" customWidth="1"/>
    <col min="8" max="8" width="12.7109375" style="143" customWidth="1"/>
    <col min="9" max="9" width="12.140625" style="143" customWidth="1"/>
    <col min="10" max="10" width="12.85546875" style="143" customWidth="1"/>
    <col min="11" max="11" width="10.85546875" style="143" customWidth="1"/>
    <col min="12" max="12" width="11.5703125" style="143" customWidth="1"/>
    <col min="13" max="13" width="0" style="143" hidden="1" customWidth="1"/>
    <col min="14" max="14" width="10.85546875" style="143" hidden="1" customWidth="1"/>
    <col min="15" max="15" width="0.5703125" style="143" customWidth="1"/>
    <col min="16" max="16" width="0" style="143" hidden="1" customWidth="1"/>
    <col min="17" max="16384" width="9.140625" style="143"/>
  </cols>
  <sheetData>
    <row r="1" spans="1:24" s="81" customFormat="1" x14ac:dyDescent="0.2">
      <c r="E1" s="1205"/>
      <c r="F1" s="1205"/>
      <c r="G1" s="1205"/>
      <c r="H1" s="1205"/>
      <c r="I1" s="1205"/>
      <c r="J1" s="236" t="s">
        <v>667</v>
      </c>
    </row>
    <row r="2" spans="1:24" s="81" customFormat="1" ht="15" x14ac:dyDescent="0.2">
      <c r="A2" s="1206" t="s">
        <v>0</v>
      </c>
      <c r="B2" s="1206"/>
      <c r="C2" s="1206"/>
      <c r="D2" s="1206"/>
      <c r="E2" s="1206"/>
      <c r="F2" s="1206"/>
      <c r="G2" s="1206"/>
      <c r="H2" s="1206"/>
      <c r="I2" s="1206"/>
      <c r="J2" s="1206"/>
    </row>
    <row r="3" spans="1:24" s="81" customFormat="1" ht="20.25" x14ac:dyDescent="0.3">
      <c r="A3" s="872" t="s">
        <v>740</v>
      </c>
      <c r="B3" s="872"/>
      <c r="C3" s="872"/>
      <c r="D3" s="872"/>
      <c r="E3" s="872"/>
      <c r="F3" s="872"/>
      <c r="G3" s="872"/>
      <c r="H3" s="872"/>
      <c r="I3" s="872"/>
      <c r="J3" s="872"/>
    </row>
    <row r="4" spans="1:24" ht="19.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24" ht="13.5" customHeight="1" x14ac:dyDescent="0.25">
      <c r="A5" s="1207" t="s">
        <v>818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O5" s="237"/>
    </row>
    <row r="6" spans="1:24" x14ac:dyDescent="0.2">
      <c r="A6" s="708"/>
      <c r="B6" s="708"/>
      <c r="C6" s="708"/>
      <c r="D6" s="708"/>
      <c r="E6" s="708"/>
      <c r="F6" s="708"/>
      <c r="G6" s="708"/>
      <c r="H6" s="708"/>
      <c r="I6" s="708"/>
      <c r="J6" s="708"/>
      <c r="K6" s="649"/>
      <c r="L6" s="649"/>
      <c r="O6" s="237"/>
    </row>
    <row r="7" spans="1:24" x14ac:dyDescent="0.2">
      <c r="A7" s="649"/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O7" s="237"/>
    </row>
    <row r="8" spans="1:24" ht="18" customHeight="1" x14ac:dyDescent="0.2">
      <c r="A8" s="1204" t="s">
        <v>922</v>
      </c>
      <c r="B8" s="1204"/>
      <c r="C8" s="709"/>
      <c r="D8" s="649"/>
      <c r="E8" s="649"/>
      <c r="F8" s="649"/>
      <c r="G8" s="649"/>
      <c r="H8" s="912"/>
      <c r="I8" s="912"/>
      <c r="J8" s="912"/>
      <c r="K8" s="912"/>
      <c r="L8" s="912"/>
      <c r="O8" s="237"/>
      <c r="P8" s="237"/>
    </row>
    <row r="9" spans="1:24" ht="44.25" customHeight="1" x14ac:dyDescent="0.2">
      <c r="A9" s="1053" t="s">
        <v>2</v>
      </c>
      <c r="B9" s="1053" t="s">
        <v>38</v>
      </c>
      <c r="C9" s="1208" t="s">
        <v>668</v>
      </c>
      <c r="D9" s="1208"/>
      <c r="E9" s="1208" t="s">
        <v>122</v>
      </c>
      <c r="F9" s="1208"/>
      <c r="G9" s="1208" t="s">
        <v>669</v>
      </c>
      <c r="H9" s="1208"/>
      <c r="I9" s="1208" t="s">
        <v>123</v>
      </c>
      <c r="J9" s="1208"/>
      <c r="K9" s="1208" t="s">
        <v>124</v>
      </c>
      <c r="L9" s="1208"/>
      <c r="O9" s="237"/>
    </row>
    <row r="10" spans="1:24" ht="38.25" x14ac:dyDescent="0.2">
      <c r="A10" s="1053"/>
      <c r="B10" s="1053"/>
      <c r="C10" s="707" t="s">
        <v>670</v>
      </c>
      <c r="D10" s="707" t="s">
        <v>671</v>
      </c>
      <c r="E10" s="707" t="s">
        <v>672</v>
      </c>
      <c r="F10" s="707" t="s">
        <v>673</v>
      </c>
      <c r="G10" s="707" t="s">
        <v>672</v>
      </c>
      <c r="H10" s="707" t="s">
        <v>673</v>
      </c>
      <c r="I10" s="707" t="s">
        <v>670</v>
      </c>
      <c r="J10" s="707" t="s">
        <v>671</v>
      </c>
      <c r="K10" s="707" t="s">
        <v>670</v>
      </c>
      <c r="L10" s="707" t="s">
        <v>671</v>
      </c>
      <c r="O10" s="237"/>
    </row>
    <row r="11" spans="1:24" s="46" customFormat="1" ht="14.25" x14ac:dyDescent="0.2">
      <c r="A11" s="707">
        <v>1</v>
      </c>
      <c r="B11" s="707">
        <v>2</v>
      </c>
      <c r="C11" s="707">
        <v>3</v>
      </c>
      <c r="D11" s="707">
        <v>4</v>
      </c>
      <c r="E11" s="707">
        <v>5</v>
      </c>
      <c r="F11" s="707">
        <v>6</v>
      </c>
      <c r="G11" s="707">
        <v>7</v>
      </c>
      <c r="H11" s="707">
        <v>8</v>
      </c>
      <c r="I11" s="707">
        <v>9</v>
      </c>
      <c r="J11" s="707">
        <v>10</v>
      </c>
      <c r="K11" s="707">
        <v>11</v>
      </c>
      <c r="L11" s="707">
        <v>12</v>
      </c>
      <c r="M11" s="69">
        <f>C11*3000/100000</f>
        <v>0.09</v>
      </c>
      <c r="N11" s="69">
        <v>2917340</v>
      </c>
      <c r="O11" s="415">
        <f>N11*4.48/100000</f>
        <v>130.696832</v>
      </c>
      <c r="P11" s="69">
        <f>N11*0.0001</f>
        <v>291.73400000000004</v>
      </c>
      <c r="Q11" s="69"/>
      <c r="R11" s="69"/>
      <c r="S11" s="69"/>
      <c r="T11" s="69"/>
      <c r="U11" s="69"/>
      <c r="V11" s="69"/>
      <c r="W11" s="69"/>
      <c r="X11" s="69"/>
    </row>
    <row r="12" spans="1:24" s="46" customFormat="1" ht="15" x14ac:dyDescent="0.2">
      <c r="A12" s="272">
        <v>1</v>
      </c>
      <c r="B12" s="271" t="s">
        <v>896</v>
      </c>
      <c r="C12" s="313">
        <v>364.66750000000002</v>
      </c>
      <c r="D12" s="18">
        <v>291.73400000000004</v>
      </c>
      <c r="E12" s="313">
        <v>163.37100000000001</v>
      </c>
      <c r="F12" s="313">
        <v>130.696832</v>
      </c>
      <c r="G12" s="18">
        <v>70.739999999999995</v>
      </c>
      <c r="H12" s="313">
        <v>0</v>
      </c>
      <c r="I12" s="313">
        <f>J12</f>
        <v>4.2848431250000001</v>
      </c>
      <c r="J12" s="313">
        <f>C12*1175/100000</f>
        <v>4.2848431250000001</v>
      </c>
      <c r="K12" s="312">
        <v>6.7320000000000002</v>
      </c>
      <c r="L12" s="313">
        <v>0</v>
      </c>
      <c r="M12" s="69">
        <f t="shared" ref="M12:M28" si="0">C12*3000/100000</f>
        <v>10.940025</v>
      </c>
      <c r="N12" s="69">
        <v>982440</v>
      </c>
      <c r="O12" s="415">
        <f t="shared" ref="O12:O28" si="1">N12*4.48/100000</f>
        <v>44.013311999999999</v>
      </c>
      <c r="P12" s="69">
        <f t="shared" ref="P12:P28" si="2">N12*0.0001</f>
        <v>98.244</v>
      </c>
      <c r="Q12" s="69"/>
      <c r="R12" s="69"/>
      <c r="S12" s="69"/>
      <c r="T12" s="69"/>
      <c r="U12" s="69"/>
      <c r="V12" s="69"/>
      <c r="W12" s="69"/>
      <c r="X12" s="69"/>
    </row>
    <row r="13" spans="1:24" s="46" customFormat="1" ht="15" x14ac:dyDescent="0.2">
      <c r="A13" s="272">
        <v>2</v>
      </c>
      <c r="B13" s="271" t="s">
        <v>897</v>
      </c>
      <c r="C13" s="313">
        <v>122.80500000000001</v>
      </c>
      <c r="D13" s="18">
        <v>98.244</v>
      </c>
      <c r="E13" s="313">
        <v>55.017000000000003</v>
      </c>
      <c r="F13" s="313">
        <v>44.013311999999999</v>
      </c>
      <c r="G13" s="18">
        <v>23.1</v>
      </c>
      <c r="H13" s="313">
        <v>0</v>
      </c>
      <c r="I13" s="313">
        <f t="shared" ref="I13:I29" si="3">J13</f>
        <v>1.4429587500000001</v>
      </c>
      <c r="J13" s="313">
        <f t="shared" ref="J13:J29" si="4">C13*1175/100000</f>
        <v>1.4429587500000001</v>
      </c>
      <c r="K13" s="312">
        <v>2.2480000000000002</v>
      </c>
      <c r="L13" s="313">
        <v>0</v>
      </c>
      <c r="M13" s="69">
        <f t="shared" si="0"/>
        <v>3.6841499999999998</v>
      </c>
      <c r="N13" s="69">
        <v>770840</v>
      </c>
      <c r="O13" s="415">
        <f t="shared" si="1"/>
        <v>34.533632000000004</v>
      </c>
      <c r="P13" s="69">
        <f t="shared" si="2"/>
        <v>77.084000000000003</v>
      </c>
      <c r="Q13" s="69"/>
      <c r="R13" s="69"/>
      <c r="S13" s="69"/>
      <c r="T13" s="69"/>
      <c r="U13" s="69"/>
      <c r="V13" s="69"/>
      <c r="W13" s="69"/>
      <c r="X13" s="69"/>
    </row>
    <row r="14" spans="1:24" s="46" customFormat="1" ht="15" x14ac:dyDescent="0.2">
      <c r="A14" s="272">
        <v>3</v>
      </c>
      <c r="B14" s="271" t="s">
        <v>898</v>
      </c>
      <c r="C14" s="313">
        <v>96.355000000000004</v>
      </c>
      <c r="D14" s="18">
        <v>77.084000000000003</v>
      </c>
      <c r="E14" s="313">
        <v>43.167000000000002</v>
      </c>
      <c r="F14" s="313">
        <v>34.533632000000004</v>
      </c>
      <c r="G14" s="18">
        <v>17.12</v>
      </c>
      <c r="H14" s="313">
        <v>0</v>
      </c>
      <c r="I14" s="313">
        <f t="shared" si="3"/>
        <v>1.1321712500000001</v>
      </c>
      <c r="J14" s="313">
        <f t="shared" si="4"/>
        <v>1.1321712500000001</v>
      </c>
      <c r="K14" s="312">
        <v>1.736</v>
      </c>
      <c r="L14" s="313">
        <v>0</v>
      </c>
      <c r="M14" s="69">
        <f t="shared" si="0"/>
        <v>2.8906499999999999</v>
      </c>
      <c r="N14" s="69">
        <v>3743320</v>
      </c>
      <c r="O14" s="415">
        <f t="shared" si="1"/>
        <v>167.70073600000001</v>
      </c>
      <c r="P14" s="69">
        <f t="shared" si="2"/>
        <v>374.33199999999999</v>
      </c>
      <c r="Q14" s="69"/>
      <c r="R14" s="69"/>
      <c r="S14" s="69"/>
      <c r="T14" s="69"/>
      <c r="U14" s="69"/>
      <c r="V14" s="69"/>
      <c r="W14" s="69"/>
      <c r="X14" s="69"/>
    </row>
    <row r="15" spans="1:24" s="46" customFormat="1" ht="15" x14ac:dyDescent="0.2">
      <c r="A15" s="272">
        <v>4</v>
      </c>
      <c r="B15" s="271" t="s">
        <v>904</v>
      </c>
      <c r="C15" s="313">
        <v>467.91499999999996</v>
      </c>
      <c r="D15" s="18">
        <v>374.33199999999999</v>
      </c>
      <c r="E15" s="313">
        <v>209.626</v>
      </c>
      <c r="F15" s="313">
        <v>167.70073600000001</v>
      </c>
      <c r="G15" s="18">
        <v>79.08</v>
      </c>
      <c r="H15" s="313">
        <v>0</v>
      </c>
      <c r="I15" s="313">
        <f t="shared" si="3"/>
        <v>5.4980012499999997</v>
      </c>
      <c r="J15" s="313">
        <f t="shared" si="4"/>
        <v>5.4980012499999997</v>
      </c>
      <c r="K15" s="312">
        <v>8.3230000000000004</v>
      </c>
      <c r="L15" s="313">
        <v>0</v>
      </c>
      <c r="M15" s="69">
        <f t="shared" si="0"/>
        <v>14.03745</v>
      </c>
      <c r="N15" s="69">
        <v>1348820</v>
      </c>
      <c r="O15" s="415">
        <f t="shared" si="1"/>
        <v>60.427136000000004</v>
      </c>
      <c r="P15" s="69">
        <f t="shared" si="2"/>
        <v>134.88200000000001</v>
      </c>
      <c r="Q15" s="69"/>
      <c r="R15" s="69"/>
      <c r="S15" s="69"/>
      <c r="T15" s="69"/>
      <c r="U15" s="69"/>
      <c r="V15" s="69"/>
      <c r="W15" s="69"/>
      <c r="X15" s="69"/>
    </row>
    <row r="16" spans="1:24" s="46" customFormat="1" ht="15" x14ac:dyDescent="0.2">
      <c r="A16" s="272">
        <v>5</v>
      </c>
      <c r="B16" s="271" t="s">
        <v>905</v>
      </c>
      <c r="C16" s="313">
        <v>168.60250000000002</v>
      </c>
      <c r="D16" s="18">
        <v>134.88200000000001</v>
      </c>
      <c r="E16" s="313">
        <v>75.534000000000006</v>
      </c>
      <c r="F16" s="313">
        <v>60.427136000000004</v>
      </c>
      <c r="G16" s="18">
        <v>34.380000000000003</v>
      </c>
      <c r="H16" s="313">
        <v>0</v>
      </c>
      <c r="I16" s="313">
        <f t="shared" si="3"/>
        <v>1.9810793750000002</v>
      </c>
      <c r="J16" s="313">
        <f t="shared" si="4"/>
        <v>1.9810793750000002</v>
      </c>
      <c r="K16" s="312">
        <v>3.1579999999999999</v>
      </c>
      <c r="L16" s="313">
        <v>0</v>
      </c>
      <c r="M16" s="69">
        <f t="shared" si="0"/>
        <v>5.0580750000000005</v>
      </c>
      <c r="N16" s="69">
        <v>2158820</v>
      </c>
      <c r="O16" s="415">
        <f t="shared" si="1"/>
        <v>96.715136000000015</v>
      </c>
      <c r="P16" s="69">
        <f t="shared" si="2"/>
        <v>215.88200000000001</v>
      </c>
      <c r="Q16" s="69"/>
      <c r="R16" s="69"/>
      <c r="S16" s="69"/>
      <c r="T16" s="69"/>
      <c r="U16" s="69"/>
      <c r="V16" s="69"/>
      <c r="W16" s="69"/>
      <c r="X16" s="69"/>
    </row>
    <row r="17" spans="1:24" s="46" customFormat="1" ht="15" x14ac:dyDescent="0.2">
      <c r="A17" s="272">
        <v>6</v>
      </c>
      <c r="B17" s="271" t="s">
        <v>906</v>
      </c>
      <c r="C17" s="313">
        <v>269.85250000000002</v>
      </c>
      <c r="D17" s="18">
        <v>215.88200000000001</v>
      </c>
      <c r="E17" s="313">
        <v>120.89400000000001</v>
      </c>
      <c r="F17" s="313">
        <v>96.715136000000015</v>
      </c>
      <c r="G17" s="18">
        <v>48.7</v>
      </c>
      <c r="H17" s="313">
        <v>0</v>
      </c>
      <c r="I17" s="313">
        <f t="shared" si="3"/>
        <v>3.170766875</v>
      </c>
      <c r="J17" s="313">
        <f t="shared" si="4"/>
        <v>3.170766875</v>
      </c>
      <c r="K17" s="312">
        <v>4.883</v>
      </c>
      <c r="L17" s="313">
        <v>0</v>
      </c>
      <c r="M17" s="69">
        <f t="shared" si="0"/>
        <v>8.095575000000002</v>
      </c>
      <c r="N17" s="69">
        <v>929380</v>
      </c>
      <c r="O17" s="415">
        <f t="shared" si="1"/>
        <v>41.636224000000006</v>
      </c>
      <c r="P17" s="69">
        <f t="shared" si="2"/>
        <v>92.938000000000002</v>
      </c>
      <c r="Q17" s="69"/>
      <c r="R17" s="69"/>
      <c r="S17" s="69"/>
      <c r="T17" s="69"/>
      <c r="U17" s="69"/>
      <c r="V17" s="69"/>
      <c r="W17" s="69"/>
      <c r="X17" s="69"/>
    </row>
    <row r="18" spans="1:24" s="46" customFormat="1" ht="15" x14ac:dyDescent="0.2">
      <c r="A18" s="272">
        <v>7</v>
      </c>
      <c r="B18" s="271" t="s">
        <v>908</v>
      </c>
      <c r="C18" s="313">
        <v>116.17250000000001</v>
      </c>
      <c r="D18" s="18">
        <v>92.938000000000002</v>
      </c>
      <c r="E18" s="313">
        <v>52.045000000000002</v>
      </c>
      <c r="F18" s="313">
        <v>41.636224000000006</v>
      </c>
      <c r="G18" s="18">
        <v>24.2</v>
      </c>
      <c r="H18" s="313">
        <v>0</v>
      </c>
      <c r="I18" s="313">
        <f t="shared" si="3"/>
        <v>1.3650268750000003</v>
      </c>
      <c r="J18" s="313">
        <f t="shared" si="4"/>
        <v>1.3650268750000003</v>
      </c>
      <c r="K18" s="312">
        <v>2.19</v>
      </c>
      <c r="L18" s="313">
        <v>0</v>
      </c>
      <c r="M18" s="69">
        <f t="shared" si="0"/>
        <v>3.4851750000000008</v>
      </c>
      <c r="N18" s="69">
        <v>1005600</v>
      </c>
      <c r="O18" s="415">
        <f t="shared" si="1"/>
        <v>45.050879999999999</v>
      </c>
      <c r="P18" s="69">
        <f t="shared" si="2"/>
        <v>100.56</v>
      </c>
      <c r="Q18" s="69"/>
      <c r="R18" s="69"/>
      <c r="S18" s="69"/>
      <c r="T18" s="69"/>
      <c r="U18" s="69"/>
      <c r="V18" s="69"/>
      <c r="W18" s="69"/>
      <c r="X18" s="69"/>
    </row>
    <row r="19" spans="1:24" s="46" customFormat="1" ht="15" x14ac:dyDescent="0.2">
      <c r="A19" s="272">
        <v>8</v>
      </c>
      <c r="B19" s="271" t="s">
        <v>909</v>
      </c>
      <c r="C19" s="313">
        <v>125.70000000000002</v>
      </c>
      <c r="D19" s="18">
        <v>100.56</v>
      </c>
      <c r="E19" s="313">
        <v>56.314</v>
      </c>
      <c r="F19" s="313">
        <v>45.050879999999999</v>
      </c>
      <c r="G19" s="18">
        <v>21.38</v>
      </c>
      <c r="H19" s="313">
        <v>0</v>
      </c>
      <c r="I19" s="313">
        <f t="shared" si="3"/>
        <v>1.4769750000000004</v>
      </c>
      <c r="J19" s="313">
        <f t="shared" si="4"/>
        <v>1.4769750000000004</v>
      </c>
      <c r="K19" s="312">
        <v>2.2389999999999999</v>
      </c>
      <c r="L19" s="313">
        <v>0</v>
      </c>
      <c r="M19" s="69">
        <f t="shared" si="0"/>
        <v>3.7710000000000008</v>
      </c>
      <c r="N19" s="69">
        <v>2165360</v>
      </c>
      <c r="O19" s="415">
        <f t="shared" si="1"/>
        <v>97.008128000000013</v>
      </c>
      <c r="P19" s="69">
        <f t="shared" si="2"/>
        <v>216.536</v>
      </c>
      <c r="Q19" s="69"/>
      <c r="R19" s="69"/>
      <c r="S19" s="69"/>
      <c r="T19" s="69"/>
      <c r="U19" s="69"/>
      <c r="V19" s="69"/>
      <c r="W19" s="69"/>
      <c r="X19" s="69"/>
    </row>
    <row r="20" spans="1:24" s="46" customFormat="1" ht="15" x14ac:dyDescent="0.2">
      <c r="A20" s="272">
        <v>9</v>
      </c>
      <c r="B20" s="271" t="s">
        <v>910</v>
      </c>
      <c r="C20" s="313">
        <v>270.67</v>
      </c>
      <c r="D20" s="18">
        <v>216.536</v>
      </c>
      <c r="E20" s="313">
        <v>121.26</v>
      </c>
      <c r="F20" s="313">
        <v>97.008128000000013</v>
      </c>
      <c r="G20" s="18">
        <v>55.64</v>
      </c>
      <c r="H20" s="313">
        <v>0</v>
      </c>
      <c r="I20" s="313">
        <f t="shared" si="3"/>
        <v>3.1803724999999998</v>
      </c>
      <c r="J20" s="313">
        <f t="shared" si="4"/>
        <v>3.1803724999999998</v>
      </c>
      <c r="K20" s="312">
        <v>5.0810000000000004</v>
      </c>
      <c r="L20" s="313">
        <v>0</v>
      </c>
      <c r="M20" s="69">
        <f t="shared" si="0"/>
        <v>8.1201000000000008</v>
      </c>
      <c r="N20" s="69">
        <v>3307180</v>
      </c>
      <c r="O20" s="415">
        <f t="shared" si="1"/>
        <v>148.16166400000003</v>
      </c>
      <c r="P20" s="69">
        <f t="shared" si="2"/>
        <v>330.71800000000002</v>
      </c>
      <c r="Q20" s="69"/>
      <c r="R20" s="69"/>
      <c r="S20" s="69"/>
      <c r="T20" s="69"/>
      <c r="U20" s="69"/>
      <c r="V20" s="69"/>
      <c r="W20" s="69"/>
      <c r="X20" s="69"/>
    </row>
    <row r="21" spans="1:24" s="46" customFormat="1" ht="15" x14ac:dyDescent="0.2">
      <c r="A21" s="272">
        <v>10</v>
      </c>
      <c r="B21" s="271" t="s">
        <v>911</v>
      </c>
      <c r="C21" s="313">
        <v>413.39750000000004</v>
      </c>
      <c r="D21" s="18">
        <v>330.71800000000002</v>
      </c>
      <c r="E21" s="313">
        <v>185.202</v>
      </c>
      <c r="F21" s="313">
        <v>148.16166400000003</v>
      </c>
      <c r="G21" s="18">
        <v>98.82</v>
      </c>
      <c r="H21" s="313">
        <v>0</v>
      </c>
      <c r="I21" s="313">
        <f t="shared" si="3"/>
        <v>4.8574206250000005</v>
      </c>
      <c r="J21" s="313">
        <f t="shared" si="4"/>
        <v>4.8574206250000005</v>
      </c>
      <c r="K21" s="312">
        <v>8.1349999999999998</v>
      </c>
      <c r="L21" s="313">
        <v>0</v>
      </c>
      <c r="M21" s="69">
        <f t="shared" si="0"/>
        <v>12.401925</v>
      </c>
      <c r="N21" s="69">
        <v>2162120</v>
      </c>
      <c r="O21" s="415">
        <f t="shared" si="1"/>
        <v>96.862976000000018</v>
      </c>
      <c r="P21" s="69">
        <f t="shared" si="2"/>
        <v>216.21200000000002</v>
      </c>
      <c r="Q21" s="69"/>
      <c r="R21" s="69"/>
      <c r="S21" s="69"/>
      <c r="T21" s="69"/>
      <c r="U21" s="69"/>
      <c r="V21" s="69"/>
      <c r="W21" s="69"/>
      <c r="X21" s="69"/>
    </row>
    <row r="22" spans="1:24" s="46" customFormat="1" ht="15" x14ac:dyDescent="0.2">
      <c r="A22" s="272">
        <v>11</v>
      </c>
      <c r="B22" s="271" t="s">
        <v>912</v>
      </c>
      <c r="C22" s="313">
        <v>270.26500000000004</v>
      </c>
      <c r="D22" s="18">
        <v>216.21200000000002</v>
      </c>
      <c r="E22" s="313">
        <v>121.07899999999999</v>
      </c>
      <c r="F22" s="313">
        <v>96.862976000000018</v>
      </c>
      <c r="G22" s="18">
        <v>53.54</v>
      </c>
      <c r="H22" s="313">
        <v>0</v>
      </c>
      <c r="I22" s="313">
        <f t="shared" si="3"/>
        <v>3.1756137500000006</v>
      </c>
      <c r="J22" s="313">
        <f t="shared" si="4"/>
        <v>3.1756137500000006</v>
      </c>
      <c r="K22" s="312">
        <v>5.0190000000000001</v>
      </c>
      <c r="L22" s="313">
        <v>0</v>
      </c>
      <c r="M22" s="69">
        <f t="shared" si="0"/>
        <v>8.1079500000000007</v>
      </c>
      <c r="N22" s="69">
        <v>1876700</v>
      </c>
      <c r="O22" s="415">
        <f t="shared" si="1"/>
        <v>84.076160000000002</v>
      </c>
      <c r="P22" s="69">
        <f t="shared" si="2"/>
        <v>187.67000000000002</v>
      </c>
      <c r="Q22" s="69"/>
      <c r="R22" s="69"/>
      <c r="S22" s="69"/>
      <c r="T22" s="69"/>
      <c r="U22" s="69"/>
      <c r="V22" s="69"/>
      <c r="W22" s="69"/>
      <c r="X22" s="69"/>
    </row>
    <row r="23" spans="1:24" s="46" customFormat="1" ht="15" x14ac:dyDescent="0.2">
      <c r="A23" s="272">
        <v>12</v>
      </c>
      <c r="B23" s="271" t="s">
        <v>913</v>
      </c>
      <c r="C23" s="313">
        <v>234.58750000000001</v>
      </c>
      <c r="D23" s="18">
        <v>187.67000000000002</v>
      </c>
      <c r="E23" s="313">
        <v>105.095</v>
      </c>
      <c r="F23" s="313">
        <v>84.076160000000002</v>
      </c>
      <c r="G23" s="18">
        <v>54.84</v>
      </c>
      <c r="H23" s="313">
        <v>0</v>
      </c>
      <c r="I23" s="313">
        <f t="shared" si="3"/>
        <v>2.7564031249999998</v>
      </c>
      <c r="J23" s="313">
        <f t="shared" si="4"/>
        <v>2.7564031249999998</v>
      </c>
      <c r="K23" s="312">
        <v>4.5830000000000002</v>
      </c>
      <c r="L23" s="313">
        <v>0</v>
      </c>
      <c r="M23" s="69">
        <f t="shared" si="0"/>
        <v>7.0376250000000002</v>
      </c>
      <c r="N23" s="69">
        <v>1732620</v>
      </c>
      <c r="O23" s="415">
        <f t="shared" si="1"/>
        <v>77.621376000000012</v>
      </c>
      <c r="P23" s="69">
        <f t="shared" si="2"/>
        <v>173.262</v>
      </c>
      <c r="Q23" s="69"/>
      <c r="R23" s="69"/>
      <c r="S23" s="69"/>
      <c r="T23" s="69"/>
      <c r="U23" s="69"/>
      <c r="V23" s="69"/>
      <c r="W23" s="69"/>
      <c r="X23" s="69"/>
    </row>
    <row r="24" spans="1:24" s="46" customFormat="1" ht="15" x14ac:dyDescent="0.2">
      <c r="A24" s="272">
        <v>13</v>
      </c>
      <c r="B24" s="271" t="s">
        <v>914</v>
      </c>
      <c r="C24" s="313">
        <v>216.57749999999999</v>
      </c>
      <c r="D24" s="18">
        <v>173.262</v>
      </c>
      <c r="E24" s="313">
        <v>97.027000000000001</v>
      </c>
      <c r="F24" s="313">
        <v>77.621376000000012</v>
      </c>
      <c r="G24" s="18">
        <v>65.88</v>
      </c>
      <c r="H24" s="313">
        <v>0</v>
      </c>
      <c r="I24" s="313">
        <f t="shared" si="3"/>
        <v>2.5447856249999998</v>
      </c>
      <c r="J24" s="313">
        <f t="shared" si="4"/>
        <v>2.5447856249999998</v>
      </c>
      <c r="K24" s="312">
        <v>4.6429999999999998</v>
      </c>
      <c r="L24" s="313">
        <v>0</v>
      </c>
      <c r="M24" s="69">
        <f t="shared" si="0"/>
        <v>6.497325</v>
      </c>
      <c r="N24" s="69">
        <v>1245280</v>
      </c>
      <c r="O24" s="415">
        <f t="shared" si="1"/>
        <v>55.788544000000002</v>
      </c>
      <c r="P24" s="69">
        <f t="shared" si="2"/>
        <v>124.52800000000001</v>
      </c>
      <c r="Q24" s="69"/>
      <c r="R24" s="69"/>
      <c r="S24" s="69"/>
      <c r="T24" s="69"/>
      <c r="U24" s="69"/>
      <c r="V24" s="69"/>
      <c r="W24" s="69"/>
      <c r="X24" s="69"/>
    </row>
    <row r="25" spans="1:24" s="46" customFormat="1" ht="15" x14ac:dyDescent="0.2">
      <c r="A25" s="272">
        <v>14</v>
      </c>
      <c r="B25" s="271" t="s">
        <v>915</v>
      </c>
      <c r="C25" s="313">
        <v>155.66</v>
      </c>
      <c r="D25" s="18">
        <v>124.52800000000001</v>
      </c>
      <c r="E25" s="313">
        <v>69.736000000000004</v>
      </c>
      <c r="F25" s="313">
        <v>55.788544000000002</v>
      </c>
      <c r="G25" s="18">
        <v>31.26</v>
      </c>
      <c r="H25" s="313">
        <v>0</v>
      </c>
      <c r="I25" s="313">
        <f t="shared" si="3"/>
        <v>1.829005</v>
      </c>
      <c r="J25" s="313">
        <f t="shared" si="4"/>
        <v>1.829005</v>
      </c>
      <c r="K25" s="312">
        <v>2.9020000000000001</v>
      </c>
      <c r="L25" s="313">
        <v>0</v>
      </c>
      <c r="M25" s="69">
        <f t="shared" si="0"/>
        <v>4.6698000000000004</v>
      </c>
      <c r="N25" s="69">
        <v>1709400</v>
      </c>
      <c r="O25" s="415">
        <f t="shared" si="1"/>
        <v>76.581120000000013</v>
      </c>
      <c r="P25" s="69">
        <f t="shared" si="2"/>
        <v>170.94</v>
      </c>
      <c r="Q25" s="69"/>
      <c r="R25" s="69"/>
      <c r="S25" s="69"/>
      <c r="T25" s="69"/>
      <c r="U25" s="69"/>
      <c r="V25" s="69"/>
      <c r="W25" s="69"/>
      <c r="X25" s="69"/>
    </row>
    <row r="26" spans="1:24" s="46" customFormat="1" ht="15" x14ac:dyDescent="0.2">
      <c r="A26" s="272">
        <v>15</v>
      </c>
      <c r="B26" s="271" t="s">
        <v>948</v>
      </c>
      <c r="C26" s="313">
        <v>213.67500000000001</v>
      </c>
      <c r="D26" s="18">
        <v>170.94</v>
      </c>
      <c r="E26" s="313">
        <v>95.725999999999999</v>
      </c>
      <c r="F26" s="313">
        <v>76.581120000000013</v>
      </c>
      <c r="G26" s="18">
        <v>45.22</v>
      </c>
      <c r="H26" s="313">
        <v>0</v>
      </c>
      <c r="I26" s="313">
        <f t="shared" si="3"/>
        <v>2.5106812500000002</v>
      </c>
      <c r="J26" s="313">
        <f t="shared" si="4"/>
        <v>2.5106812500000002</v>
      </c>
      <c r="K26" s="312">
        <v>4.0460000000000003</v>
      </c>
      <c r="L26" s="313">
        <v>0</v>
      </c>
      <c r="M26" s="69">
        <f t="shared" si="0"/>
        <v>6.4102499999999996</v>
      </c>
      <c r="N26" s="69">
        <v>1292180</v>
      </c>
      <c r="O26" s="415">
        <f t="shared" si="1"/>
        <v>57.889664000000003</v>
      </c>
      <c r="P26" s="69">
        <f t="shared" si="2"/>
        <v>129.21800000000002</v>
      </c>
      <c r="Q26" s="69"/>
      <c r="R26" s="69"/>
      <c r="S26" s="69"/>
      <c r="T26" s="69"/>
      <c r="U26" s="69"/>
      <c r="V26" s="69"/>
      <c r="W26" s="69"/>
      <c r="X26" s="69"/>
    </row>
    <row r="27" spans="1:24" s="46" customFormat="1" ht="15" x14ac:dyDescent="0.2">
      <c r="A27" s="272">
        <v>16</v>
      </c>
      <c r="B27" s="271" t="s">
        <v>917</v>
      </c>
      <c r="C27" s="313">
        <v>161.52250000000001</v>
      </c>
      <c r="D27" s="18">
        <v>129.21800000000002</v>
      </c>
      <c r="E27" s="313">
        <v>72.361999999999995</v>
      </c>
      <c r="F27" s="313">
        <v>57.889664000000003</v>
      </c>
      <c r="G27" s="18">
        <v>29.36</v>
      </c>
      <c r="H27" s="313">
        <v>0</v>
      </c>
      <c r="I27" s="313">
        <f t="shared" si="3"/>
        <v>1.8978893750000001</v>
      </c>
      <c r="J27" s="313">
        <f t="shared" si="4"/>
        <v>1.8978893750000001</v>
      </c>
      <c r="K27" s="312">
        <v>2.9289999999999998</v>
      </c>
      <c r="L27" s="313">
        <v>0</v>
      </c>
      <c r="M27" s="69">
        <f t="shared" si="0"/>
        <v>4.845675</v>
      </c>
      <c r="N27" s="69">
        <v>2187800</v>
      </c>
      <c r="O27" s="415">
        <f t="shared" si="1"/>
        <v>98.013440000000017</v>
      </c>
      <c r="P27" s="69">
        <f t="shared" si="2"/>
        <v>218.78</v>
      </c>
      <c r="Q27" s="69"/>
      <c r="R27" s="69"/>
      <c r="S27" s="69"/>
      <c r="T27" s="69"/>
      <c r="U27" s="69"/>
      <c r="V27" s="69"/>
      <c r="W27" s="69"/>
      <c r="X27" s="69"/>
    </row>
    <row r="28" spans="1:24" s="46" customFormat="1" ht="16.5" customHeight="1" x14ac:dyDescent="0.2">
      <c r="A28" s="272">
        <v>17</v>
      </c>
      <c r="B28" s="271" t="s">
        <v>947</v>
      </c>
      <c r="C28" s="313">
        <v>273.47500000000002</v>
      </c>
      <c r="D28" s="18">
        <v>218.78</v>
      </c>
      <c r="E28" s="313">
        <v>122.517</v>
      </c>
      <c r="F28" s="313">
        <v>98.013440000000017</v>
      </c>
      <c r="G28" s="18">
        <v>45.52</v>
      </c>
      <c r="H28" s="313">
        <v>0</v>
      </c>
      <c r="I28" s="313">
        <f t="shared" si="3"/>
        <v>3.21333125</v>
      </c>
      <c r="J28" s="313">
        <f t="shared" si="4"/>
        <v>3.21333125</v>
      </c>
      <c r="K28" s="312">
        <v>4.8449999999999998</v>
      </c>
      <c r="L28" s="313">
        <v>0</v>
      </c>
      <c r="M28" s="69">
        <f t="shared" si="0"/>
        <v>8.2042500000000018</v>
      </c>
      <c r="N28" s="69">
        <v>2491760</v>
      </c>
      <c r="O28" s="415">
        <f t="shared" si="1"/>
        <v>111.63084800000001</v>
      </c>
      <c r="P28" s="69">
        <f t="shared" si="2"/>
        <v>249.17600000000002</v>
      </c>
      <c r="Q28" s="69"/>
      <c r="R28" s="69"/>
      <c r="S28" s="69"/>
      <c r="T28" s="69"/>
      <c r="U28" s="69"/>
      <c r="V28" s="69"/>
      <c r="W28" s="69"/>
      <c r="X28" s="69"/>
    </row>
    <row r="29" spans="1:24" s="51" customFormat="1" ht="15.75" x14ac:dyDescent="0.25">
      <c r="A29" s="272">
        <v>18</v>
      </c>
      <c r="B29" s="271" t="s">
        <v>919</v>
      </c>
      <c r="C29" s="313">
        <v>311.47000000000003</v>
      </c>
      <c r="D29" s="18">
        <v>249.17600000000002</v>
      </c>
      <c r="E29" s="313">
        <v>139.53899999999999</v>
      </c>
      <c r="F29" s="313">
        <v>111.63084800000001</v>
      </c>
      <c r="G29" s="18">
        <v>60.24</v>
      </c>
      <c r="H29" s="313">
        <v>0</v>
      </c>
      <c r="I29" s="313">
        <f t="shared" si="3"/>
        <v>3.6597725000000008</v>
      </c>
      <c r="J29" s="313">
        <f t="shared" si="4"/>
        <v>3.6597725000000008</v>
      </c>
      <c r="K29" s="312">
        <v>5.7450000000000001</v>
      </c>
      <c r="L29" s="313">
        <v>0</v>
      </c>
      <c r="M29" s="367"/>
      <c r="N29" s="367">
        <f>SUM(N11:N28)</f>
        <v>34026960</v>
      </c>
      <c r="O29" s="367"/>
      <c r="P29" s="367"/>
      <c r="Q29" s="367"/>
      <c r="R29" s="367"/>
      <c r="S29" s="367"/>
      <c r="T29" s="367"/>
      <c r="U29" s="367"/>
      <c r="V29" s="367"/>
      <c r="W29" s="367"/>
      <c r="X29" s="367"/>
    </row>
    <row r="30" spans="1:24" ht="15.75" x14ac:dyDescent="0.25">
      <c r="A30" s="1210" t="s">
        <v>18</v>
      </c>
      <c r="B30" s="1211"/>
      <c r="C30" s="315">
        <f t="shared" ref="C30:L30" si="5">SUM(C12:C29)</f>
        <v>4253.37</v>
      </c>
      <c r="D30" s="315">
        <f t="shared" si="5"/>
        <v>3402.6960000000004</v>
      </c>
      <c r="E30" s="315">
        <f t="shared" si="5"/>
        <v>1905.511</v>
      </c>
      <c r="F30" s="315">
        <f t="shared" si="5"/>
        <v>1524.4078080000002</v>
      </c>
      <c r="G30" s="315">
        <f t="shared" si="5"/>
        <v>859.02</v>
      </c>
      <c r="H30" s="315">
        <f t="shared" si="5"/>
        <v>0</v>
      </c>
      <c r="I30" s="315">
        <f t="shared" si="5"/>
        <v>49.977097500000006</v>
      </c>
      <c r="J30" s="315">
        <f t="shared" si="5"/>
        <v>49.977097500000006</v>
      </c>
      <c r="K30" s="316">
        <f t="shared" si="5"/>
        <v>79.437000000000012</v>
      </c>
      <c r="L30" s="315">
        <f t="shared" si="5"/>
        <v>0</v>
      </c>
      <c r="N30" s="521"/>
    </row>
    <row r="31" spans="1:24" ht="12.75" customHeight="1" x14ac:dyDescent="0.2">
      <c r="A31" s="156" t="s">
        <v>11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687"/>
      <c r="P31" s="687"/>
      <c r="Q31" s="687"/>
      <c r="R31" s="688"/>
      <c r="S31" s="688"/>
      <c r="T31" s="688"/>
      <c r="U31" s="688"/>
      <c r="V31" s="687"/>
      <c r="W31" s="687"/>
    </row>
    <row r="32" spans="1:24" ht="12.75" customHeight="1" x14ac:dyDescent="0.2">
      <c r="A32" s="688"/>
      <c r="B32" s="688"/>
      <c r="C32" s="688"/>
      <c r="D32" s="688"/>
      <c r="E32" s="688"/>
      <c r="F32" s="688"/>
      <c r="G32" s="688"/>
      <c r="H32" s="688"/>
      <c r="I32" s="688"/>
      <c r="J32" s="688"/>
      <c r="K32" s="688" t="s">
        <v>12</v>
      </c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7"/>
      <c r="W32" s="687"/>
    </row>
    <row r="33" spans="1:37" ht="12.75" customHeight="1" x14ac:dyDescent="0.2">
      <c r="A33" s="688" t="s">
        <v>14</v>
      </c>
      <c r="B33" s="688"/>
      <c r="C33" s="688"/>
      <c r="D33" s="688"/>
      <c r="E33" s="688"/>
      <c r="F33" s="688"/>
      <c r="G33" s="688"/>
      <c r="H33" s="688"/>
      <c r="I33" s="688"/>
      <c r="J33" s="1209" t="s">
        <v>13</v>
      </c>
      <c r="K33" s="1209"/>
      <c r="L33" s="1209"/>
      <c r="M33" s="688"/>
      <c r="N33" s="688"/>
      <c r="O33" s="688"/>
      <c r="P33" s="688"/>
      <c r="Q33" s="688"/>
      <c r="R33" s="688"/>
      <c r="S33" s="688"/>
      <c r="T33" s="688"/>
      <c r="U33" s="688"/>
      <c r="V33" s="687"/>
      <c r="W33" s="687"/>
    </row>
    <row r="34" spans="1:37" x14ac:dyDescent="0.2">
      <c r="A34" s="687"/>
      <c r="B34" s="687"/>
      <c r="C34" s="687"/>
      <c r="D34" s="687"/>
      <c r="E34" s="687"/>
      <c r="F34" s="687"/>
      <c r="G34" s="687"/>
      <c r="H34" s="687"/>
      <c r="I34" s="687"/>
      <c r="J34" s="1186" t="s">
        <v>1123</v>
      </c>
      <c r="K34" s="1186"/>
      <c r="L34" s="1186"/>
      <c r="M34" s="1186"/>
      <c r="N34" s="1186"/>
      <c r="O34" s="1186"/>
      <c r="P34" s="687"/>
      <c r="Q34" s="687"/>
      <c r="R34" s="1186"/>
      <c r="S34" s="1186"/>
      <c r="T34" s="1186"/>
      <c r="U34" s="1186"/>
      <c r="V34" s="1186"/>
      <c r="W34" s="1186"/>
    </row>
    <row r="35" spans="1:37" x14ac:dyDescent="0.2">
      <c r="A35" s="690"/>
      <c r="B35" s="690"/>
      <c r="C35" s="690"/>
      <c r="D35" s="690"/>
      <c r="E35" s="690"/>
      <c r="F35" s="690"/>
      <c r="G35" s="690"/>
      <c r="H35" s="690"/>
      <c r="I35" s="690"/>
      <c r="J35" s="1186" t="s">
        <v>84</v>
      </c>
      <c r="K35" s="1186"/>
      <c r="L35" s="1186"/>
      <c r="M35" s="1186"/>
      <c r="N35" s="1186"/>
      <c r="O35" s="1186"/>
      <c r="P35" s="649"/>
      <c r="Q35" s="649"/>
      <c r="R35" s="649"/>
      <c r="S35" s="649"/>
      <c r="T35" s="649"/>
      <c r="U35" s="649"/>
      <c r="V35" s="649"/>
      <c r="W35" s="649"/>
    </row>
    <row r="38" spans="1:37" x14ac:dyDescent="0.2">
      <c r="B38" s="521"/>
      <c r="C38" s="521"/>
      <c r="D38" s="521"/>
      <c r="E38" s="521"/>
      <c r="F38" s="521"/>
    </row>
    <row r="39" spans="1:37" x14ac:dyDescent="0.2">
      <c r="B39" s="521"/>
      <c r="C39" s="524"/>
      <c r="D39" s="524"/>
      <c r="E39" s="524"/>
      <c r="F39" s="524"/>
      <c r="H39" s="525"/>
    </row>
    <row r="40" spans="1:37" x14ac:dyDescent="0.2">
      <c r="B40" s="521"/>
      <c r="C40" s="524"/>
      <c r="D40" s="524"/>
      <c r="E40" s="524"/>
      <c r="F40" s="524"/>
      <c r="G40" s="521"/>
      <c r="H40" s="525"/>
    </row>
    <row r="41" spans="1:37" ht="15.75" customHeight="1" x14ac:dyDescent="0.2">
      <c r="B41" s="521"/>
      <c r="C41" s="524"/>
      <c r="D41" s="524"/>
      <c r="E41" s="524"/>
      <c r="F41" s="524"/>
      <c r="G41" s="521"/>
      <c r="H41" s="525"/>
      <c r="Q41" s="689" t="s">
        <v>14</v>
      </c>
      <c r="R41" s="689"/>
      <c r="S41" s="689"/>
      <c r="T41" s="689"/>
      <c r="U41" s="689"/>
      <c r="V41" s="689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  <c r="AH41" s="689"/>
      <c r="AI41" s="689"/>
      <c r="AJ41" s="689"/>
      <c r="AK41" s="689"/>
    </row>
    <row r="42" spans="1:37" x14ac:dyDescent="0.2">
      <c r="B42" s="521"/>
      <c r="C42" s="524"/>
      <c r="D42" s="524"/>
      <c r="E42" s="524"/>
      <c r="F42" s="524"/>
      <c r="G42" s="521"/>
      <c r="H42" s="525"/>
    </row>
    <row r="43" spans="1:37" x14ac:dyDescent="0.2">
      <c r="B43" s="521"/>
      <c r="C43" s="524"/>
      <c r="D43" s="524"/>
      <c r="E43" s="524"/>
      <c r="F43" s="524"/>
      <c r="G43" s="521"/>
      <c r="H43" s="525"/>
    </row>
    <row r="44" spans="1:37" x14ac:dyDescent="0.2">
      <c r="B44" s="521"/>
      <c r="C44" s="524"/>
      <c r="D44" s="524"/>
      <c r="E44" s="524"/>
      <c r="F44" s="524"/>
      <c r="G44" s="521"/>
      <c r="H44" s="525"/>
    </row>
    <row r="45" spans="1:37" x14ac:dyDescent="0.2">
      <c r="B45" s="521"/>
      <c r="C45" s="524"/>
      <c r="D45" s="524"/>
      <c r="E45" s="524"/>
      <c r="F45" s="524"/>
      <c r="G45" s="521"/>
      <c r="H45" s="525"/>
    </row>
    <row r="46" spans="1:37" x14ac:dyDescent="0.2">
      <c r="B46" s="521"/>
      <c r="C46" s="524"/>
      <c r="D46" s="524"/>
      <c r="E46" s="524"/>
      <c r="F46" s="524"/>
      <c r="G46" s="521"/>
      <c r="H46" s="525"/>
    </row>
    <row r="47" spans="1:37" x14ac:dyDescent="0.2">
      <c r="B47" s="521"/>
      <c r="C47" s="524"/>
      <c r="D47" s="524"/>
      <c r="E47" s="524"/>
      <c r="F47" s="524"/>
      <c r="G47" s="521"/>
      <c r="H47" s="525"/>
    </row>
    <row r="48" spans="1:37" x14ac:dyDescent="0.2">
      <c r="B48" s="521"/>
      <c r="C48" s="524"/>
      <c r="D48" s="524"/>
      <c r="E48" s="524"/>
      <c r="F48" s="524"/>
      <c r="G48" s="521"/>
      <c r="H48" s="525"/>
    </row>
    <row r="49" spans="2:8" x14ac:dyDescent="0.2">
      <c r="B49" s="521"/>
      <c r="C49" s="524"/>
      <c r="D49" s="524"/>
      <c r="E49" s="524"/>
      <c r="F49" s="524"/>
      <c r="G49" s="521"/>
      <c r="H49" s="525"/>
    </row>
    <row r="50" spans="2:8" x14ac:dyDescent="0.2">
      <c r="B50" s="521"/>
      <c r="C50" s="524"/>
      <c r="D50" s="524"/>
      <c r="E50" s="524"/>
      <c r="F50" s="524"/>
      <c r="G50" s="521"/>
      <c r="H50" s="525"/>
    </row>
    <row r="51" spans="2:8" x14ac:dyDescent="0.2">
      <c r="B51" s="521"/>
      <c r="C51" s="524"/>
      <c r="D51" s="524"/>
      <c r="E51" s="524"/>
      <c r="F51" s="524"/>
      <c r="G51" s="521"/>
      <c r="H51" s="525"/>
    </row>
    <row r="52" spans="2:8" x14ac:dyDescent="0.2">
      <c r="B52" s="521"/>
      <c r="C52" s="524"/>
      <c r="D52" s="524"/>
      <c r="E52" s="524"/>
      <c r="F52" s="524"/>
      <c r="G52" s="521"/>
      <c r="H52" s="525"/>
    </row>
    <row r="53" spans="2:8" x14ac:dyDescent="0.2">
      <c r="B53" s="521"/>
      <c r="C53" s="524"/>
      <c r="D53" s="524"/>
      <c r="E53" s="524"/>
      <c r="F53" s="524"/>
      <c r="G53" s="521"/>
      <c r="H53" s="525"/>
    </row>
    <row r="54" spans="2:8" x14ac:dyDescent="0.2">
      <c r="B54" s="521"/>
      <c r="C54" s="524"/>
      <c r="D54" s="524"/>
      <c r="E54" s="524"/>
      <c r="F54" s="524"/>
      <c r="G54" s="521"/>
      <c r="H54" s="525"/>
    </row>
    <row r="55" spans="2:8" x14ac:dyDescent="0.2">
      <c r="B55" s="521"/>
      <c r="C55" s="524"/>
      <c r="D55" s="524"/>
      <c r="E55" s="524"/>
      <c r="F55" s="524"/>
      <c r="G55" s="521"/>
      <c r="H55" s="525"/>
    </row>
    <row r="56" spans="2:8" x14ac:dyDescent="0.2">
      <c r="B56" s="521"/>
      <c r="C56" s="524"/>
      <c r="D56" s="524"/>
      <c r="E56" s="524"/>
      <c r="F56" s="524"/>
      <c r="G56" s="521"/>
      <c r="H56" s="525"/>
    </row>
    <row r="57" spans="2:8" x14ac:dyDescent="0.2">
      <c r="B57" s="521"/>
      <c r="C57" s="524"/>
      <c r="D57" s="524"/>
      <c r="E57" s="524"/>
      <c r="F57" s="524"/>
      <c r="G57" s="521"/>
      <c r="H57" s="525"/>
    </row>
    <row r="58" spans="2:8" x14ac:dyDescent="0.2">
      <c r="B58" s="521"/>
      <c r="C58" s="524"/>
      <c r="D58" s="524"/>
      <c r="E58" s="524"/>
      <c r="F58" s="524"/>
      <c r="G58" s="521"/>
      <c r="H58" s="525"/>
    </row>
    <row r="59" spans="2:8" x14ac:dyDescent="0.2">
      <c r="B59" s="521"/>
      <c r="C59" s="524"/>
      <c r="D59" s="524"/>
      <c r="E59" s="524"/>
      <c r="F59" s="524"/>
      <c r="G59" s="521"/>
      <c r="H59" s="525"/>
    </row>
    <row r="60" spans="2:8" x14ac:dyDescent="0.2">
      <c r="B60" s="521"/>
      <c r="C60" s="524"/>
      <c r="D60" s="524"/>
      <c r="E60" s="524"/>
      <c r="F60" s="524"/>
      <c r="G60" s="521"/>
      <c r="H60" s="525"/>
    </row>
    <row r="61" spans="2:8" x14ac:dyDescent="0.2">
      <c r="B61" s="521"/>
      <c r="C61" s="524"/>
      <c r="D61" s="524"/>
      <c r="E61" s="524"/>
      <c r="F61" s="524"/>
      <c r="G61" s="521"/>
      <c r="H61" s="525"/>
    </row>
    <row r="62" spans="2:8" x14ac:dyDescent="0.2">
      <c r="B62" s="521"/>
      <c r="C62" s="524"/>
      <c r="D62" s="524"/>
      <c r="E62" s="524"/>
      <c r="F62" s="524"/>
      <c r="G62" s="521"/>
      <c r="H62" s="525"/>
    </row>
    <row r="63" spans="2:8" x14ac:dyDescent="0.2">
      <c r="B63" s="521"/>
      <c r="C63" s="524"/>
      <c r="D63" s="524"/>
      <c r="E63" s="524"/>
      <c r="F63" s="524"/>
    </row>
  </sheetData>
  <mergeCells count="18">
    <mergeCell ref="J35:O35"/>
    <mergeCell ref="R34:W34"/>
    <mergeCell ref="J33:L33"/>
    <mergeCell ref="J34:O34"/>
    <mergeCell ref="A30:B30"/>
    <mergeCell ref="A8:B8"/>
    <mergeCell ref="H8:L8"/>
    <mergeCell ref="A9:A10"/>
    <mergeCell ref="B9:B10"/>
    <mergeCell ref="E1:I1"/>
    <mergeCell ref="A2:J2"/>
    <mergeCell ref="A3:J3"/>
    <mergeCell ref="A5:L5"/>
    <mergeCell ref="K9:L9"/>
    <mergeCell ref="C9:D9"/>
    <mergeCell ref="E9:F9"/>
    <mergeCell ref="G9:H9"/>
    <mergeCell ref="I9:J9"/>
  </mergeCells>
  <printOptions horizontalCentered="1"/>
  <pageMargins left="0.70866141732283472" right="0.17" top="0.23622047244094491" bottom="0" header="0.31496062992125984" footer="0.31496062992125984"/>
  <pageSetup paperSize="9" scale="97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7"/>
  <sheetViews>
    <sheetView topLeftCell="A22" zoomScaleSheetLayoutView="100" workbookViewId="0">
      <selection activeCell="C29" sqref="C29"/>
    </sheetView>
  </sheetViews>
  <sheetFormatPr defaultColWidth="9.140625" defaultRowHeight="12.75" x14ac:dyDescent="0.2"/>
  <cols>
    <col min="1" max="1" width="7.42578125" style="143" customWidth="1"/>
    <col min="2" max="2" width="17.140625" style="143" customWidth="1"/>
    <col min="3" max="3" width="11" style="143" customWidth="1"/>
    <col min="4" max="4" width="10" style="143" customWidth="1"/>
    <col min="5" max="5" width="11.85546875" style="143" customWidth="1"/>
    <col min="6" max="6" width="12.140625" style="143" customWidth="1"/>
    <col min="7" max="7" width="13.28515625" style="143" customWidth="1"/>
    <col min="8" max="8" width="14.5703125" style="143" customWidth="1"/>
    <col min="9" max="9" width="12" style="143" customWidth="1"/>
    <col min="10" max="10" width="13.140625" style="143" customWidth="1"/>
    <col min="11" max="11" width="12.140625" style="143" customWidth="1"/>
    <col min="12" max="12" width="12.42578125" style="143" customWidth="1"/>
    <col min="13" max="13" width="9.140625" style="143"/>
    <col min="14" max="17" width="0" style="143" hidden="1" customWidth="1"/>
    <col min="18" max="16384" width="9.140625" style="143"/>
  </cols>
  <sheetData>
    <row r="1" spans="1:24" s="81" customFormat="1" x14ac:dyDescent="0.2">
      <c r="E1" s="1205"/>
      <c r="F1" s="1205"/>
      <c r="G1" s="1205"/>
      <c r="H1" s="1205"/>
      <c r="I1" s="1205"/>
      <c r="J1" s="236" t="s">
        <v>674</v>
      </c>
    </row>
    <row r="2" spans="1:24" s="81" customFormat="1" ht="15" x14ac:dyDescent="0.2">
      <c r="A2" s="1206" t="s">
        <v>0</v>
      </c>
      <c r="B2" s="1206"/>
      <c r="C2" s="1206"/>
      <c r="D2" s="1206"/>
      <c r="E2" s="1206"/>
      <c r="F2" s="1206"/>
      <c r="G2" s="1206"/>
      <c r="H2" s="1206"/>
      <c r="I2" s="1206"/>
      <c r="J2" s="1206"/>
    </row>
    <row r="3" spans="1:24" s="81" customFormat="1" ht="20.25" x14ac:dyDescent="0.3">
      <c r="A3" s="872" t="s">
        <v>740</v>
      </c>
      <c r="B3" s="872"/>
      <c r="C3" s="872"/>
      <c r="D3" s="872"/>
      <c r="E3" s="872"/>
      <c r="F3" s="872"/>
      <c r="G3" s="872"/>
      <c r="H3" s="872"/>
      <c r="I3" s="872"/>
      <c r="J3" s="872"/>
    </row>
    <row r="4" spans="1:24" s="81" customFormat="1" ht="14.25" customHeight="1" x14ac:dyDescent="0.2"/>
    <row r="5" spans="1:24" ht="16.5" customHeight="1" x14ac:dyDescent="0.25">
      <c r="A5" s="1207" t="s">
        <v>819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</row>
    <row r="6" spans="1:24" ht="13.5" customHeight="1" x14ac:dyDescent="0.2">
      <c r="A6" s="708"/>
      <c r="B6" s="708"/>
      <c r="C6" s="708"/>
      <c r="D6" s="708"/>
      <c r="E6" s="708"/>
      <c r="F6" s="708"/>
      <c r="G6" s="708"/>
      <c r="H6" s="708"/>
      <c r="I6" s="708"/>
      <c r="J6" s="708"/>
      <c r="K6" s="649"/>
      <c r="L6" s="649"/>
    </row>
    <row r="7" spans="1:24" x14ac:dyDescent="0.2">
      <c r="A7" s="649"/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N7" s="237"/>
      <c r="O7" s="237"/>
      <c r="P7" s="237"/>
    </row>
    <row r="8" spans="1:24" x14ac:dyDescent="0.2">
      <c r="A8" s="1204" t="s">
        <v>922</v>
      </c>
      <c r="B8" s="1204"/>
      <c r="C8" s="709"/>
      <c r="D8" s="649"/>
      <c r="E8" s="649"/>
      <c r="F8" s="649"/>
      <c r="G8" s="649"/>
      <c r="H8" s="912"/>
      <c r="I8" s="912"/>
      <c r="J8" s="912"/>
      <c r="K8" s="912"/>
      <c r="L8" s="912"/>
      <c r="N8" s="237"/>
      <c r="O8" s="237"/>
      <c r="P8" s="237"/>
    </row>
    <row r="9" spans="1:24" ht="21" customHeight="1" x14ac:dyDescent="0.2">
      <c r="A9" s="1053" t="s">
        <v>2</v>
      </c>
      <c r="B9" s="1053" t="s">
        <v>38</v>
      </c>
      <c r="C9" s="1208" t="s">
        <v>668</v>
      </c>
      <c r="D9" s="1208"/>
      <c r="E9" s="1208" t="s">
        <v>122</v>
      </c>
      <c r="F9" s="1208"/>
      <c r="G9" s="1208" t="s">
        <v>669</v>
      </c>
      <c r="H9" s="1208"/>
      <c r="I9" s="1208" t="s">
        <v>123</v>
      </c>
      <c r="J9" s="1208"/>
      <c r="K9" s="1208" t="s">
        <v>124</v>
      </c>
      <c r="L9" s="1208"/>
      <c r="N9" s="237"/>
      <c r="O9" s="237"/>
      <c r="P9" s="237"/>
    </row>
    <row r="10" spans="1:24" ht="45" customHeight="1" x14ac:dyDescent="0.2">
      <c r="A10" s="1053"/>
      <c r="B10" s="1053"/>
      <c r="C10" s="707" t="s">
        <v>670</v>
      </c>
      <c r="D10" s="707" t="s">
        <v>671</v>
      </c>
      <c r="E10" s="707" t="s">
        <v>672</v>
      </c>
      <c r="F10" s="707" t="s">
        <v>673</v>
      </c>
      <c r="G10" s="707" t="s">
        <v>672</v>
      </c>
      <c r="H10" s="707" t="s">
        <v>673</v>
      </c>
      <c r="I10" s="707" t="s">
        <v>670</v>
      </c>
      <c r="J10" s="707" t="s">
        <v>671</v>
      </c>
      <c r="K10" s="707" t="s">
        <v>670</v>
      </c>
      <c r="L10" s="707" t="s">
        <v>671</v>
      </c>
      <c r="N10" s="237"/>
      <c r="O10" s="237"/>
      <c r="P10" s="237"/>
    </row>
    <row r="11" spans="1:24" ht="13.5" customHeight="1" x14ac:dyDescent="0.2">
      <c r="A11" s="707">
        <v>1</v>
      </c>
      <c r="B11" s="707">
        <v>2</v>
      </c>
      <c r="C11" s="707">
        <v>3</v>
      </c>
      <c r="D11" s="707">
        <v>4</v>
      </c>
      <c r="E11" s="707">
        <v>5</v>
      </c>
      <c r="F11" s="707">
        <v>6</v>
      </c>
      <c r="G11" s="707">
        <v>7</v>
      </c>
      <c r="H11" s="707">
        <v>8</v>
      </c>
      <c r="I11" s="707">
        <v>9</v>
      </c>
      <c r="J11" s="707">
        <v>10</v>
      </c>
      <c r="K11" s="707">
        <v>11</v>
      </c>
      <c r="L11" s="707">
        <v>12</v>
      </c>
    </row>
    <row r="12" spans="1:24" s="46" customFormat="1" ht="14.25" x14ac:dyDescent="0.2">
      <c r="A12" s="705">
        <v>1</v>
      </c>
      <c r="B12" s="269" t="s">
        <v>896</v>
      </c>
      <c r="C12" s="313">
        <v>236.54999999999998</v>
      </c>
      <c r="D12" s="18">
        <v>189.23999999999998</v>
      </c>
      <c r="E12" s="313">
        <v>105.81699999999999</v>
      </c>
      <c r="F12" s="313">
        <v>84.653360000000006</v>
      </c>
      <c r="G12" s="313">
        <v>28.9</v>
      </c>
      <c r="H12" s="313">
        <v>0</v>
      </c>
      <c r="I12" s="313">
        <f>C12*1175/100000</f>
        <v>2.7794625000000002</v>
      </c>
      <c r="J12" s="313">
        <f>I12</f>
        <v>2.7794625000000002</v>
      </c>
      <c r="K12" s="313">
        <v>3.9039999999999999</v>
      </c>
      <c r="L12" s="313">
        <v>0</v>
      </c>
      <c r="M12" s="69"/>
      <c r="N12" s="69">
        <v>1261600</v>
      </c>
      <c r="O12" s="69">
        <f>N12*0.00015</f>
        <v>189.23999999999998</v>
      </c>
      <c r="P12" s="522">
        <f>N12*6.71/100000</f>
        <v>84.653360000000006</v>
      </c>
      <c r="Q12" s="69"/>
      <c r="R12" s="69"/>
      <c r="S12" s="69"/>
      <c r="T12" s="69"/>
      <c r="U12" s="69"/>
      <c r="V12" s="69"/>
      <c r="W12" s="69"/>
      <c r="X12" s="69"/>
    </row>
    <row r="13" spans="1:24" s="46" customFormat="1" ht="14.25" x14ac:dyDescent="0.2">
      <c r="A13" s="705">
        <v>2</v>
      </c>
      <c r="B13" s="269" t="s">
        <v>897</v>
      </c>
      <c r="C13" s="313">
        <v>65.831249999999997</v>
      </c>
      <c r="D13" s="18">
        <v>52.664999999999992</v>
      </c>
      <c r="E13" s="313">
        <v>29.449000000000002</v>
      </c>
      <c r="F13" s="313">
        <v>23.558810000000001</v>
      </c>
      <c r="G13" s="313">
        <v>9.44</v>
      </c>
      <c r="H13" s="313">
        <v>0</v>
      </c>
      <c r="I13" s="313">
        <f t="shared" ref="I13:I29" si="0">C13*1175/100000</f>
        <v>0.77351718749999998</v>
      </c>
      <c r="J13" s="313">
        <f t="shared" ref="J13:J29" si="1">I13</f>
        <v>0.77351718749999998</v>
      </c>
      <c r="K13" s="313">
        <v>1.1240000000000001</v>
      </c>
      <c r="L13" s="313">
        <v>0</v>
      </c>
      <c r="M13" s="69"/>
      <c r="N13" s="69">
        <v>351100</v>
      </c>
      <c r="O13" s="69">
        <f t="shared" ref="O13:O29" si="2">N13*0.00015</f>
        <v>52.664999999999992</v>
      </c>
      <c r="P13" s="522">
        <f t="shared" ref="P13:P29" si="3">N13*6.71/100000</f>
        <v>23.558810000000001</v>
      </c>
      <c r="Q13" s="69"/>
      <c r="R13" s="69"/>
      <c r="S13" s="69"/>
      <c r="T13" s="69"/>
      <c r="U13" s="69"/>
      <c r="V13" s="69"/>
      <c r="W13" s="69"/>
      <c r="X13" s="69"/>
    </row>
    <row r="14" spans="1:24" s="46" customFormat="1" ht="14.25" x14ac:dyDescent="0.2">
      <c r="A14" s="705">
        <v>3</v>
      </c>
      <c r="B14" s="269" t="s">
        <v>898</v>
      </c>
      <c r="C14" s="313">
        <v>60.348749999999995</v>
      </c>
      <c r="D14" s="18">
        <v>48.278999999999996</v>
      </c>
      <c r="E14" s="313">
        <v>26.995999999999999</v>
      </c>
      <c r="F14" s="313">
        <v>21.596806000000001</v>
      </c>
      <c r="G14" s="313">
        <v>6.98</v>
      </c>
      <c r="H14" s="313">
        <v>0</v>
      </c>
      <c r="I14" s="313">
        <f t="shared" si="0"/>
        <v>0.70909781250000004</v>
      </c>
      <c r="J14" s="313">
        <f t="shared" si="1"/>
        <v>0.70909781250000004</v>
      </c>
      <c r="K14" s="313">
        <v>0.98499999999999999</v>
      </c>
      <c r="L14" s="313">
        <v>0</v>
      </c>
      <c r="M14" s="69"/>
      <c r="N14" s="69">
        <v>321860</v>
      </c>
      <c r="O14" s="69">
        <f t="shared" si="2"/>
        <v>48.278999999999996</v>
      </c>
      <c r="P14" s="522">
        <f t="shared" si="3"/>
        <v>21.596806000000001</v>
      </c>
      <c r="Q14" s="69"/>
      <c r="R14" s="69"/>
      <c r="S14" s="69"/>
      <c r="T14" s="69"/>
      <c r="U14" s="69"/>
      <c r="V14" s="69"/>
      <c r="W14" s="69"/>
      <c r="X14" s="69"/>
    </row>
    <row r="15" spans="1:24" s="46" customFormat="1" ht="14.25" x14ac:dyDescent="0.2">
      <c r="A15" s="705">
        <v>4</v>
      </c>
      <c r="B15" s="269" t="s">
        <v>904</v>
      </c>
      <c r="C15" s="313">
        <v>319.60874999999993</v>
      </c>
      <c r="D15" s="18">
        <v>255.68699999999998</v>
      </c>
      <c r="E15" s="313">
        <v>142.97200000000001</v>
      </c>
      <c r="F15" s="313">
        <v>114.377318</v>
      </c>
      <c r="G15" s="313">
        <v>32.299999999999997</v>
      </c>
      <c r="H15" s="313">
        <v>0</v>
      </c>
      <c r="I15" s="313">
        <f t="shared" si="0"/>
        <v>3.7554028124999994</v>
      </c>
      <c r="J15" s="313">
        <f t="shared" si="1"/>
        <v>3.7554028124999994</v>
      </c>
      <c r="K15" s="313">
        <v>5.093</v>
      </c>
      <c r="L15" s="313">
        <v>0</v>
      </c>
      <c r="M15" s="69"/>
      <c r="N15" s="69">
        <v>1704580</v>
      </c>
      <c r="O15" s="69">
        <f t="shared" si="2"/>
        <v>255.68699999999998</v>
      </c>
      <c r="P15" s="522">
        <f t="shared" si="3"/>
        <v>114.377318</v>
      </c>
      <c r="Q15" s="69"/>
      <c r="R15" s="69"/>
      <c r="S15" s="69"/>
      <c r="T15" s="69"/>
      <c r="U15" s="69"/>
      <c r="V15" s="69"/>
      <c r="W15" s="69"/>
      <c r="X15" s="69"/>
    </row>
    <row r="16" spans="1:24" s="46" customFormat="1" ht="14.25" x14ac:dyDescent="0.2">
      <c r="A16" s="705">
        <v>5</v>
      </c>
      <c r="B16" s="269" t="s">
        <v>905</v>
      </c>
      <c r="C16" s="313">
        <v>101.7375</v>
      </c>
      <c r="D16" s="18">
        <v>81.389999999999986</v>
      </c>
      <c r="E16" s="313">
        <v>45.511000000000003</v>
      </c>
      <c r="F16" s="313">
        <v>36.408459999999998</v>
      </c>
      <c r="G16" s="313">
        <v>14.04</v>
      </c>
      <c r="H16" s="313">
        <v>0</v>
      </c>
      <c r="I16" s="313">
        <f t="shared" si="0"/>
        <v>1.1954156250000001</v>
      </c>
      <c r="J16" s="313">
        <f t="shared" si="1"/>
        <v>1.1954156250000001</v>
      </c>
      <c r="K16" s="313">
        <v>1.7230000000000001</v>
      </c>
      <c r="L16" s="313">
        <v>0</v>
      </c>
      <c r="M16" s="69"/>
      <c r="N16" s="69">
        <v>542600</v>
      </c>
      <c r="O16" s="69">
        <f t="shared" si="2"/>
        <v>81.389999999999986</v>
      </c>
      <c r="P16" s="522">
        <f t="shared" si="3"/>
        <v>36.408459999999998</v>
      </c>
      <c r="Q16" s="69"/>
      <c r="R16" s="69"/>
      <c r="S16" s="69"/>
      <c r="T16" s="69"/>
      <c r="U16" s="69"/>
      <c r="V16" s="69"/>
      <c r="W16" s="69"/>
      <c r="X16" s="69"/>
    </row>
    <row r="17" spans="1:24" s="46" customFormat="1" ht="14.25" x14ac:dyDescent="0.2">
      <c r="A17" s="705">
        <v>6</v>
      </c>
      <c r="B17" s="269" t="s">
        <v>906</v>
      </c>
      <c r="C17" s="313">
        <v>169.80374999999998</v>
      </c>
      <c r="D17" s="18">
        <v>135.84299999999999</v>
      </c>
      <c r="E17" s="313">
        <v>75.959000000000003</v>
      </c>
      <c r="F17" s="313">
        <v>60.767102000000001</v>
      </c>
      <c r="G17" s="313">
        <v>19.88</v>
      </c>
      <c r="H17" s="313">
        <v>0</v>
      </c>
      <c r="I17" s="313">
        <f t="shared" si="0"/>
        <v>1.9951940624999998</v>
      </c>
      <c r="J17" s="313">
        <f t="shared" si="1"/>
        <v>1.9951940624999998</v>
      </c>
      <c r="K17" s="313">
        <v>2.7789999999999999</v>
      </c>
      <c r="L17" s="313">
        <v>0</v>
      </c>
      <c r="M17" s="69"/>
      <c r="N17" s="69">
        <v>905620</v>
      </c>
      <c r="O17" s="69">
        <f t="shared" si="2"/>
        <v>135.84299999999999</v>
      </c>
      <c r="P17" s="522">
        <f t="shared" si="3"/>
        <v>60.767102000000001</v>
      </c>
      <c r="Q17" s="69"/>
      <c r="R17" s="69"/>
      <c r="S17" s="69"/>
      <c r="T17" s="69"/>
      <c r="U17" s="69"/>
      <c r="V17" s="69"/>
      <c r="W17" s="69"/>
      <c r="X17" s="69"/>
    </row>
    <row r="18" spans="1:24" s="46" customFormat="1" ht="14.25" x14ac:dyDescent="0.2">
      <c r="A18" s="705">
        <v>7</v>
      </c>
      <c r="B18" s="269" t="s">
        <v>908</v>
      </c>
      <c r="C18" s="313">
        <v>91.758749999999992</v>
      </c>
      <c r="D18" s="18">
        <v>73.406999999999996</v>
      </c>
      <c r="E18" s="313">
        <v>41.046999999999997</v>
      </c>
      <c r="F18" s="313">
        <v>32.837398</v>
      </c>
      <c r="G18" s="313">
        <v>9.8800000000000008</v>
      </c>
      <c r="H18" s="313">
        <v>0</v>
      </c>
      <c r="I18" s="313">
        <f t="shared" si="0"/>
        <v>1.0781653124999999</v>
      </c>
      <c r="J18" s="313">
        <f t="shared" si="1"/>
        <v>1.0781653124999999</v>
      </c>
      <c r="K18" s="313">
        <v>1.478</v>
      </c>
      <c r="L18" s="313">
        <v>0</v>
      </c>
      <c r="M18" s="69"/>
      <c r="N18" s="69">
        <v>489380</v>
      </c>
      <c r="O18" s="69">
        <f t="shared" si="2"/>
        <v>73.406999999999996</v>
      </c>
      <c r="P18" s="522">
        <f t="shared" si="3"/>
        <v>32.837398</v>
      </c>
      <c r="Q18" s="69"/>
      <c r="R18" s="69"/>
      <c r="S18" s="69"/>
      <c r="T18" s="69"/>
      <c r="U18" s="69"/>
      <c r="V18" s="69"/>
      <c r="W18" s="69"/>
      <c r="X18" s="69"/>
    </row>
    <row r="19" spans="1:24" s="46" customFormat="1" ht="14.25" x14ac:dyDescent="0.2">
      <c r="A19" s="705">
        <v>8</v>
      </c>
      <c r="B19" s="269" t="s">
        <v>909</v>
      </c>
      <c r="C19" s="313">
        <v>91.77</v>
      </c>
      <c r="D19" s="18">
        <v>73.415999999999997</v>
      </c>
      <c r="E19" s="313">
        <v>41.052</v>
      </c>
      <c r="F19" s="313">
        <v>32.841423999999996</v>
      </c>
      <c r="G19" s="313">
        <v>8.74</v>
      </c>
      <c r="H19" s="313">
        <v>0</v>
      </c>
      <c r="I19" s="313">
        <f t="shared" si="0"/>
        <v>1.0782974999999999</v>
      </c>
      <c r="J19" s="313">
        <f t="shared" si="1"/>
        <v>1.0782974999999999</v>
      </c>
      <c r="K19" s="313">
        <v>1.448</v>
      </c>
      <c r="L19" s="313">
        <v>0</v>
      </c>
      <c r="M19" s="69"/>
      <c r="N19" s="69">
        <v>489440</v>
      </c>
      <c r="O19" s="69">
        <f t="shared" si="2"/>
        <v>73.415999999999997</v>
      </c>
      <c r="P19" s="522">
        <f t="shared" si="3"/>
        <v>32.841423999999996</v>
      </c>
      <c r="Q19" s="69"/>
      <c r="R19" s="69"/>
      <c r="S19" s="69"/>
      <c r="T19" s="69"/>
      <c r="U19" s="69"/>
      <c r="V19" s="69"/>
      <c r="W19" s="69"/>
      <c r="X19" s="69"/>
    </row>
    <row r="20" spans="1:24" s="46" customFormat="1" ht="14.25" x14ac:dyDescent="0.2">
      <c r="A20" s="705">
        <v>9</v>
      </c>
      <c r="B20" s="269" t="s">
        <v>910</v>
      </c>
      <c r="C20" s="313">
        <v>204.60749999999996</v>
      </c>
      <c r="D20" s="18">
        <v>163.68599999999998</v>
      </c>
      <c r="E20" s="313">
        <v>91.528000000000006</v>
      </c>
      <c r="F20" s="313">
        <v>73.222204000000005</v>
      </c>
      <c r="G20" s="313">
        <v>22.72</v>
      </c>
      <c r="H20" s="313">
        <v>0</v>
      </c>
      <c r="I20" s="313">
        <f t="shared" si="0"/>
        <v>2.4041381249999993</v>
      </c>
      <c r="J20" s="313">
        <f t="shared" si="1"/>
        <v>2.4041381249999993</v>
      </c>
      <c r="K20" s="313">
        <v>3.3149999999999999</v>
      </c>
      <c r="L20" s="313">
        <v>0</v>
      </c>
      <c r="M20" s="69"/>
      <c r="N20" s="69">
        <v>1091240</v>
      </c>
      <c r="O20" s="69">
        <f t="shared" si="2"/>
        <v>163.68599999999998</v>
      </c>
      <c r="P20" s="522">
        <f t="shared" si="3"/>
        <v>73.222204000000005</v>
      </c>
      <c r="Q20" s="69"/>
      <c r="R20" s="69"/>
      <c r="S20" s="69"/>
      <c r="T20" s="69"/>
      <c r="U20" s="69"/>
      <c r="V20" s="69"/>
      <c r="W20" s="69"/>
      <c r="X20" s="69"/>
    </row>
    <row r="21" spans="1:24" s="46" customFormat="1" ht="14.25" x14ac:dyDescent="0.2">
      <c r="A21" s="705">
        <v>10</v>
      </c>
      <c r="B21" s="269" t="s">
        <v>911</v>
      </c>
      <c r="C21" s="313">
        <v>233.46</v>
      </c>
      <c r="D21" s="18">
        <v>186.76799999999997</v>
      </c>
      <c r="E21" s="313">
        <v>104.434</v>
      </c>
      <c r="F21" s="313">
        <v>83.547551999999996</v>
      </c>
      <c r="G21" s="313">
        <v>40.36</v>
      </c>
      <c r="H21" s="313">
        <v>0</v>
      </c>
      <c r="I21" s="313">
        <f t="shared" si="0"/>
        <v>2.7431549999999998</v>
      </c>
      <c r="J21" s="313">
        <f t="shared" si="1"/>
        <v>2.7431549999999998</v>
      </c>
      <c r="K21" s="313">
        <v>4.173</v>
      </c>
      <c r="L21" s="313">
        <v>0</v>
      </c>
      <c r="M21" s="69"/>
      <c r="N21" s="69">
        <v>1245120</v>
      </c>
      <c r="O21" s="69">
        <f t="shared" si="2"/>
        <v>186.76799999999997</v>
      </c>
      <c r="P21" s="522">
        <f t="shared" si="3"/>
        <v>83.547551999999996</v>
      </c>
      <c r="Q21" s="69"/>
      <c r="R21" s="69"/>
      <c r="S21" s="69"/>
      <c r="T21" s="69"/>
      <c r="U21" s="69"/>
      <c r="V21" s="69"/>
      <c r="W21" s="69"/>
      <c r="X21" s="69"/>
    </row>
    <row r="22" spans="1:24" s="46" customFormat="1" ht="14.25" x14ac:dyDescent="0.2">
      <c r="A22" s="705">
        <v>11</v>
      </c>
      <c r="B22" s="269" t="s">
        <v>912</v>
      </c>
      <c r="C22" s="313">
        <v>214.03124999999997</v>
      </c>
      <c r="D22" s="18">
        <v>171.22499999999999</v>
      </c>
      <c r="E22" s="313">
        <v>95.742999999999995</v>
      </c>
      <c r="F22" s="313">
        <v>76.594650000000001</v>
      </c>
      <c r="G22" s="313">
        <v>21.88</v>
      </c>
      <c r="H22" s="313">
        <v>0</v>
      </c>
      <c r="I22" s="313">
        <f t="shared" si="0"/>
        <v>2.5148671874999997</v>
      </c>
      <c r="J22" s="313">
        <f t="shared" si="1"/>
        <v>2.5148671874999997</v>
      </c>
      <c r="K22" s="313">
        <v>3.4169999999999998</v>
      </c>
      <c r="L22" s="313">
        <v>0</v>
      </c>
      <c r="M22" s="69"/>
      <c r="N22" s="69">
        <v>1141500</v>
      </c>
      <c r="O22" s="69">
        <f t="shared" si="2"/>
        <v>171.22499999999999</v>
      </c>
      <c r="P22" s="522">
        <f t="shared" si="3"/>
        <v>76.594650000000001</v>
      </c>
      <c r="Q22" s="69"/>
      <c r="R22" s="69"/>
      <c r="S22" s="69"/>
      <c r="T22" s="69"/>
      <c r="U22" s="69"/>
      <c r="V22" s="69"/>
      <c r="W22" s="69"/>
      <c r="X22" s="69"/>
    </row>
    <row r="23" spans="1:24" s="46" customFormat="1" ht="14.25" x14ac:dyDescent="0.2">
      <c r="A23" s="705">
        <v>12</v>
      </c>
      <c r="B23" s="269" t="s">
        <v>913</v>
      </c>
      <c r="C23" s="313">
        <v>179.48999999999998</v>
      </c>
      <c r="D23" s="18">
        <v>143.59199999999998</v>
      </c>
      <c r="E23" s="313">
        <v>80.292000000000002</v>
      </c>
      <c r="F23" s="313">
        <v>64.233487999999994</v>
      </c>
      <c r="G23" s="313">
        <v>22.4</v>
      </c>
      <c r="H23" s="313">
        <v>0</v>
      </c>
      <c r="I23" s="313">
        <f t="shared" si="0"/>
        <v>2.1090074999999997</v>
      </c>
      <c r="J23" s="313">
        <f t="shared" si="1"/>
        <v>2.1090074999999997</v>
      </c>
      <c r="K23" s="313">
        <v>2.9750000000000001</v>
      </c>
      <c r="L23" s="313">
        <v>0</v>
      </c>
      <c r="M23" s="69"/>
      <c r="N23" s="69">
        <v>957280</v>
      </c>
      <c r="O23" s="69">
        <f t="shared" si="2"/>
        <v>143.59199999999998</v>
      </c>
      <c r="P23" s="522">
        <f t="shared" si="3"/>
        <v>64.233487999999994</v>
      </c>
      <c r="Q23" s="69"/>
      <c r="R23" s="69"/>
      <c r="S23" s="69"/>
      <c r="T23" s="69"/>
      <c r="U23" s="69"/>
      <c r="V23" s="69"/>
      <c r="W23" s="69"/>
      <c r="X23" s="69"/>
    </row>
    <row r="24" spans="1:24" s="46" customFormat="1" ht="14.25" x14ac:dyDescent="0.2">
      <c r="A24" s="705">
        <v>13</v>
      </c>
      <c r="B24" s="269" t="s">
        <v>914</v>
      </c>
      <c r="C24" s="313">
        <v>134.17124999999999</v>
      </c>
      <c r="D24" s="18">
        <v>107.33699999999999</v>
      </c>
      <c r="E24" s="313">
        <v>60.018999999999998</v>
      </c>
      <c r="F24" s="313">
        <v>48.015417999999997</v>
      </c>
      <c r="G24" s="313">
        <v>26.92</v>
      </c>
      <c r="H24" s="313">
        <v>0</v>
      </c>
      <c r="I24" s="313">
        <f t="shared" si="0"/>
        <v>1.5765121874999997</v>
      </c>
      <c r="J24" s="313">
        <f t="shared" si="1"/>
        <v>1.5765121874999997</v>
      </c>
      <c r="K24" s="313">
        <v>2.4990000000000001</v>
      </c>
      <c r="L24" s="313">
        <v>0</v>
      </c>
      <c r="M24" s="69"/>
      <c r="N24" s="69">
        <v>715580</v>
      </c>
      <c r="O24" s="69">
        <f t="shared" si="2"/>
        <v>107.33699999999999</v>
      </c>
      <c r="P24" s="522">
        <f t="shared" si="3"/>
        <v>48.015417999999997</v>
      </c>
      <c r="Q24" s="69"/>
      <c r="R24" s="69"/>
      <c r="S24" s="69"/>
      <c r="T24" s="69"/>
      <c r="U24" s="69"/>
      <c r="V24" s="69"/>
      <c r="W24" s="69"/>
      <c r="X24" s="69"/>
    </row>
    <row r="25" spans="1:24" s="46" customFormat="1" ht="14.25" x14ac:dyDescent="0.2">
      <c r="A25" s="705">
        <v>14</v>
      </c>
      <c r="B25" s="269" t="s">
        <v>915</v>
      </c>
      <c r="C25" s="313">
        <v>93.337499999999991</v>
      </c>
      <c r="D25" s="18">
        <v>74.669999999999987</v>
      </c>
      <c r="E25" s="313">
        <v>41.753</v>
      </c>
      <c r="F25" s="313">
        <v>33.402380000000001</v>
      </c>
      <c r="G25" s="313">
        <v>12.78</v>
      </c>
      <c r="H25" s="313">
        <v>0</v>
      </c>
      <c r="I25" s="313">
        <f t="shared" si="0"/>
        <v>1.0967156249999999</v>
      </c>
      <c r="J25" s="313">
        <f t="shared" si="1"/>
        <v>1.0967156249999999</v>
      </c>
      <c r="K25" s="313">
        <v>1.5780000000000001</v>
      </c>
      <c r="L25" s="313">
        <v>0</v>
      </c>
      <c r="M25" s="69"/>
      <c r="N25" s="69">
        <v>497800</v>
      </c>
      <c r="O25" s="69">
        <f t="shared" si="2"/>
        <v>74.669999999999987</v>
      </c>
      <c r="P25" s="522">
        <f t="shared" si="3"/>
        <v>33.402380000000001</v>
      </c>
      <c r="Q25" s="69"/>
      <c r="R25" s="69"/>
      <c r="S25" s="69"/>
      <c r="T25" s="69"/>
      <c r="U25" s="69"/>
      <c r="V25" s="69"/>
      <c r="W25" s="69"/>
      <c r="X25" s="69"/>
    </row>
    <row r="26" spans="1:24" s="46" customFormat="1" ht="14.25" x14ac:dyDescent="0.2">
      <c r="A26" s="705">
        <v>15</v>
      </c>
      <c r="B26" s="269" t="s">
        <v>948</v>
      </c>
      <c r="C26" s="313">
        <v>119.83499999999998</v>
      </c>
      <c r="D26" s="18">
        <v>95.867999999999995</v>
      </c>
      <c r="E26" s="313">
        <v>53.606000000000002</v>
      </c>
      <c r="F26" s="313">
        <v>42.884951999999998</v>
      </c>
      <c r="G26" s="313">
        <v>18.48</v>
      </c>
      <c r="H26" s="313">
        <v>0</v>
      </c>
      <c r="I26" s="313">
        <f t="shared" si="0"/>
        <v>1.4080612499999998</v>
      </c>
      <c r="J26" s="313">
        <f t="shared" si="1"/>
        <v>1.4080612499999998</v>
      </c>
      <c r="K26" s="313">
        <v>2.081</v>
      </c>
      <c r="L26" s="313">
        <v>0</v>
      </c>
      <c r="M26" s="69"/>
      <c r="N26" s="69">
        <v>639120</v>
      </c>
      <c r="O26" s="69">
        <f t="shared" si="2"/>
        <v>95.867999999999995</v>
      </c>
      <c r="P26" s="522">
        <f t="shared" si="3"/>
        <v>42.884951999999998</v>
      </c>
      <c r="Q26" s="69"/>
      <c r="R26" s="69"/>
      <c r="S26" s="69"/>
      <c r="T26" s="69"/>
      <c r="U26" s="69"/>
      <c r="V26" s="69"/>
      <c r="W26" s="69"/>
      <c r="X26" s="69"/>
    </row>
    <row r="27" spans="1:24" s="46" customFormat="1" ht="14.25" x14ac:dyDescent="0.2">
      <c r="A27" s="705">
        <v>16</v>
      </c>
      <c r="B27" s="269" t="s">
        <v>917</v>
      </c>
      <c r="C27" s="313">
        <v>65.73</v>
      </c>
      <c r="D27" s="18">
        <v>52.583999999999996</v>
      </c>
      <c r="E27" s="313">
        <v>29.402999999999999</v>
      </c>
      <c r="F27" s="313">
        <v>23.522576000000001</v>
      </c>
      <c r="G27" s="313">
        <v>12</v>
      </c>
      <c r="H27" s="313">
        <v>0</v>
      </c>
      <c r="I27" s="313">
        <f t="shared" si="0"/>
        <v>0.77232749999999994</v>
      </c>
      <c r="J27" s="313">
        <f t="shared" si="1"/>
        <v>0.77232749999999994</v>
      </c>
      <c r="K27" s="313">
        <v>1.1919999999999999</v>
      </c>
      <c r="L27" s="313">
        <v>0</v>
      </c>
      <c r="M27" s="69"/>
      <c r="N27" s="69">
        <v>350560</v>
      </c>
      <c r="O27" s="69">
        <f t="shared" si="2"/>
        <v>52.583999999999996</v>
      </c>
      <c r="P27" s="522">
        <f t="shared" si="3"/>
        <v>23.522576000000001</v>
      </c>
      <c r="Q27" s="69"/>
      <c r="R27" s="69"/>
      <c r="S27" s="69"/>
      <c r="T27" s="69"/>
      <c r="U27" s="69"/>
      <c r="V27" s="69"/>
      <c r="W27" s="69"/>
      <c r="X27" s="69"/>
    </row>
    <row r="28" spans="1:24" s="46" customFormat="1" ht="16.5" customHeight="1" x14ac:dyDescent="0.2">
      <c r="A28" s="705">
        <v>17</v>
      </c>
      <c r="B28" s="269" t="s">
        <v>947</v>
      </c>
      <c r="C28" s="313">
        <v>147.45374999999999</v>
      </c>
      <c r="D28" s="18">
        <v>117.96299999999999</v>
      </c>
      <c r="E28" s="313">
        <v>65.960999999999999</v>
      </c>
      <c r="F28" s="313">
        <v>52.768782000000002</v>
      </c>
      <c r="G28" s="313">
        <v>18.600000000000001</v>
      </c>
      <c r="H28" s="313">
        <v>0</v>
      </c>
      <c r="I28" s="313">
        <f t="shared" si="0"/>
        <v>1.7325815624999996</v>
      </c>
      <c r="J28" s="313">
        <f t="shared" si="1"/>
        <v>1.7325815624999996</v>
      </c>
      <c r="K28" s="313">
        <v>2.4489999999999998</v>
      </c>
      <c r="L28" s="313">
        <v>0</v>
      </c>
      <c r="M28" s="69"/>
      <c r="N28" s="69">
        <v>786420</v>
      </c>
      <c r="O28" s="69">
        <f t="shared" si="2"/>
        <v>117.96299999999999</v>
      </c>
      <c r="P28" s="522">
        <f t="shared" si="3"/>
        <v>52.768782000000002</v>
      </c>
      <c r="Q28" s="69"/>
      <c r="R28" s="69"/>
      <c r="S28" s="69"/>
      <c r="T28" s="69"/>
      <c r="U28" s="69"/>
      <c r="V28" s="69"/>
      <c r="W28" s="69"/>
      <c r="X28" s="69"/>
    </row>
    <row r="29" spans="1:24" s="46" customFormat="1" ht="14.25" x14ac:dyDescent="0.2">
      <c r="A29" s="705">
        <v>18</v>
      </c>
      <c r="B29" s="269" t="s">
        <v>919</v>
      </c>
      <c r="C29" s="313">
        <v>261.42749999999995</v>
      </c>
      <c r="D29" s="18">
        <v>209.14199999999997</v>
      </c>
      <c r="E29" s="313">
        <v>116.94499999999999</v>
      </c>
      <c r="F29" s="313">
        <v>93.556188000000006</v>
      </c>
      <c r="G29" s="313">
        <v>24.6</v>
      </c>
      <c r="H29" s="313">
        <v>0</v>
      </c>
      <c r="I29" s="313">
        <f t="shared" si="0"/>
        <v>3.0717731249999995</v>
      </c>
      <c r="J29" s="313">
        <f t="shared" si="1"/>
        <v>3.0717731249999995</v>
      </c>
      <c r="K29" s="313">
        <v>4.1159999999999997</v>
      </c>
      <c r="L29" s="313">
        <v>0</v>
      </c>
      <c r="M29" s="69"/>
      <c r="N29" s="69">
        <v>1394280</v>
      </c>
      <c r="O29" s="69">
        <f t="shared" si="2"/>
        <v>209.14199999999997</v>
      </c>
      <c r="P29" s="522">
        <f t="shared" si="3"/>
        <v>93.556188000000006</v>
      </c>
      <c r="Q29" s="69"/>
      <c r="R29" s="69"/>
      <c r="S29" s="69"/>
      <c r="T29" s="69"/>
      <c r="U29" s="69"/>
      <c r="V29" s="69"/>
      <c r="W29" s="69"/>
      <c r="X29" s="69"/>
    </row>
    <row r="30" spans="1:24" s="51" customFormat="1" ht="15" x14ac:dyDescent="0.25">
      <c r="A30" s="798" t="s">
        <v>18</v>
      </c>
      <c r="B30" s="800"/>
      <c r="C30" s="316">
        <f>SUM(C12:C29)</f>
        <v>2790.9524999999999</v>
      </c>
      <c r="D30" s="316">
        <f t="shared" ref="D30:L30" si="4">SUM(D12:D29)</f>
        <v>2232.7619999999997</v>
      </c>
      <c r="E30" s="315">
        <f>SUM(E12:E29)</f>
        <v>1248.4870000000001</v>
      </c>
      <c r="F30" s="316">
        <f t="shared" si="4"/>
        <v>998.78886799999998</v>
      </c>
      <c r="G30" s="316">
        <f t="shared" si="4"/>
        <v>350.90000000000003</v>
      </c>
      <c r="H30" s="316">
        <f t="shared" si="4"/>
        <v>0</v>
      </c>
      <c r="I30" s="315">
        <f t="shared" si="4"/>
        <v>32.793691874999993</v>
      </c>
      <c r="J30" s="315">
        <f t="shared" si="4"/>
        <v>32.793691874999993</v>
      </c>
      <c r="K30" s="316">
        <f t="shared" si="4"/>
        <v>46.329000000000015</v>
      </c>
      <c r="L30" s="316">
        <f t="shared" si="4"/>
        <v>0</v>
      </c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</row>
    <row r="31" spans="1:24" x14ac:dyDescent="0.2">
      <c r="N31" s="521"/>
    </row>
    <row r="32" spans="1:24" x14ac:dyDescent="0.2">
      <c r="A32" s="156" t="s">
        <v>11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687"/>
    </row>
    <row r="33" spans="1:15" x14ac:dyDescent="0.2">
      <c r="A33" s="688"/>
      <c r="B33" s="688"/>
      <c r="C33" s="688"/>
      <c r="D33" s="688"/>
      <c r="E33" s="688"/>
      <c r="F33" s="688"/>
      <c r="G33" s="688"/>
      <c r="H33" s="688"/>
      <c r="I33" s="688"/>
      <c r="J33" s="688"/>
      <c r="K33" s="688" t="s">
        <v>12</v>
      </c>
      <c r="L33" s="688"/>
      <c r="M33" s="688"/>
      <c r="N33" s="688"/>
      <c r="O33" s="688"/>
    </row>
    <row r="34" spans="1:15" ht="13.5" customHeight="1" x14ac:dyDescent="0.2">
      <c r="A34" s="688"/>
      <c r="B34" s="688"/>
      <c r="C34" s="688"/>
      <c r="D34" s="688"/>
      <c r="E34" s="688"/>
      <c r="F34" s="688"/>
      <c r="G34" s="688"/>
      <c r="H34" s="688"/>
      <c r="I34" s="688"/>
      <c r="J34" s="1209" t="s">
        <v>13</v>
      </c>
      <c r="K34" s="1209"/>
      <c r="L34" s="1209"/>
      <c r="M34" s="688"/>
      <c r="N34" s="688"/>
      <c r="O34" s="688"/>
    </row>
    <row r="35" spans="1:15" x14ac:dyDescent="0.2">
      <c r="A35" s="687"/>
      <c r="B35" s="687"/>
      <c r="C35" s="687"/>
      <c r="D35" s="687"/>
      <c r="E35" s="687"/>
      <c r="F35" s="687"/>
      <c r="G35" s="687"/>
      <c r="H35" s="687"/>
      <c r="I35" s="687"/>
      <c r="J35" s="691" t="s">
        <v>1124</v>
      </c>
      <c r="K35" s="691"/>
      <c r="L35" s="691"/>
      <c r="M35" s="691"/>
      <c r="N35" s="691"/>
      <c r="O35" s="691"/>
    </row>
    <row r="36" spans="1:15" x14ac:dyDescent="0.2">
      <c r="A36" s="690"/>
      <c r="B36" s="690"/>
      <c r="C36" s="690"/>
      <c r="D36" s="690"/>
      <c r="E36" s="690"/>
      <c r="F36" s="690"/>
      <c r="G36" s="690"/>
      <c r="H36" s="690"/>
      <c r="I36" s="690"/>
      <c r="J36" s="691" t="s">
        <v>84</v>
      </c>
      <c r="K36" s="691"/>
      <c r="L36" s="691"/>
      <c r="M36" s="691"/>
      <c r="N36" s="691"/>
      <c r="O36" s="691"/>
    </row>
    <row r="37" spans="1:15" x14ac:dyDescent="0.2">
      <c r="A37" s="649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</row>
  </sheetData>
  <mergeCells count="15">
    <mergeCell ref="I9:J9"/>
    <mergeCell ref="J34:L34"/>
    <mergeCell ref="K9:L9"/>
    <mergeCell ref="A30:B30"/>
    <mergeCell ref="E1:I1"/>
    <mergeCell ref="A2:J2"/>
    <mergeCell ref="A3:J3"/>
    <mergeCell ref="A8:B8"/>
    <mergeCell ref="A5:L5"/>
    <mergeCell ref="H8:L8"/>
    <mergeCell ref="A9:A10"/>
    <mergeCell ref="B9:B10"/>
    <mergeCell ref="C9:D9"/>
    <mergeCell ref="E9:F9"/>
    <mergeCell ref="G9:H9"/>
  </mergeCells>
  <printOptions horizontalCentered="1"/>
  <pageMargins left="0.36" right="0.2" top="0.23622047244094491" bottom="0" header="0.19" footer="0.31496062992125984"/>
  <pageSetup paperSize="9" scale="98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3:H59"/>
  <sheetViews>
    <sheetView zoomScaleNormal="100" workbookViewId="0">
      <selection activeCell="C29" sqref="C29"/>
    </sheetView>
  </sheetViews>
  <sheetFormatPr defaultRowHeight="12.75" x14ac:dyDescent="0.2"/>
  <cols>
    <col min="1" max="1" width="9.140625" style="759"/>
    <col min="2" max="2" width="18.7109375" customWidth="1"/>
    <col min="3" max="3" width="29.140625" customWidth="1"/>
    <col min="4" max="4" width="22.140625" customWidth="1"/>
    <col min="5" max="5" width="14.140625" customWidth="1"/>
    <col min="8" max="8" width="17.7109375" customWidth="1"/>
  </cols>
  <sheetData>
    <row r="3" spans="1:8" ht="20.25" x14ac:dyDescent="0.2">
      <c r="A3" s="760" t="s">
        <v>1216</v>
      </c>
    </row>
    <row r="4" spans="1:8" ht="20.25" x14ac:dyDescent="0.2">
      <c r="A4" s="760" t="s">
        <v>1133</v>
      </c>
    </row>
    <row r="5" spans="1:8" ht="20.25" x14ac:dyDescent="0.2">
      <c r="A5" s="760" t="s">
        <v>1134</v>
      </c>
    </row>
    <row r="6" spans="1:8" ht="19.5" thickBot="1" x14ac:dyDescent="0.25">
      <c r="A6" s="761" t="s">
        <v>1135</v>
      </c>
    </row>
    <row r="7" spans="1:8" ht="51.75" thickBot="1" x14ac:dyDescent="0.25">
      <c r="A7" s="762" t="s">
        <v>1136</v>
      </c>
      <c r="B7" s="746" t="s">
        <v>1137</v>
      </c>
      <c r="C7" s="746" t="s">
        <v>1138</v>
      </c>
      <c r="D7" s="746" t="s">
        <v>1139</v>
      </c>
      <c r="E7" s="746" t="s">
        <v>1140</v>
      </c>
      <c r="F7" s="746" t="s">
        <v>1141</v>
      </c>
      <c r="G7" s="746" t="s">
        <v>1142</v>
      </c>
      <c r="H7" s="746" t="s">
        <v>78</v>
      </c>
    </row>
    <row r="8" spans="1:8" ht="13.5" thickBot="1" x14ac:dyDescent="0.25">
      <c r="A8" s="1212" t="s">
        <v>279</v>
      </c>
      <c r="B8" s="1213"/>
      <c r="C8" s="1213"/>
      <c r="D8" s="1213"/>
      <c r="E8" s="1213"/>
      <c r="F8" s="1213"/>
      <c r="G8" s="1213"/>
      <c r="H8" s="1214"/>
    </row>
    <row r="9" spans="1:8" ht="26.25" thickBot="1" x14ac:dyDescent="0.25">
      <c r="A9" s="763">
        <v>1</v>
      </c>
      <c r="B9" s="747" t="s">
        <v>1143</v>
      </c>
      <c r="C9" s="747" t="s">
        <v>1144</v>
      </c>
      <c r="D9" s="748">
        <v>1</v>
      </c>
      <c r="E9" s="1215" t="s">
        <v>1145</v>
      </c>
      <c r="F9" s="1216"/>
      <c r="G9" s="748" t="s">
        <v>1146</v>
      </c>
      <c r="H9" s="747"/>
    </row>
    <row r="10" spans="1:8" ht="26.25" thickBot="1" x14ac:dyDescent="0.25">
      <c r="A10" s="763">
        <v>2</v>
      </c>
      <c r="B10" s="747" t="s">
        <v>1147</v>
      </c>
      <c r="C10" s="747" t="s">
        <v>1148</v>
      </c>
      <c r="D10" s="748">
        <v>1</v>
      </c>
      <c r="E10" s="1217"/>
      <c r="F10" s="1218"/>
      <c r="G10" s="748" t="s">
        <v>1146</v>
      </c>
      <c r="H10" s="1219" t="s">
        <v>1149</v>
      </c>
    </row>
    <row r="11" spans="1:8" ht="26.25" thickBot="1" x14ac:dyDescent="0.25">
      <c r="A11" s="763">
        <v>3</v>
      </c>
      <c r="B11" s="747" t="s">
        <v>1150</v>
      </c>
      <c r="C11" s="747" t="s">
        <v>1151</v>
      </c>
      <c r="D11" s="748">
        <v>1</v>
      </c>
      <c r="E11" s="748">
        <v>0.5</v>
      </c>
      <c r="F11" s="748">
        <v>6</v>
      </c>
      <c r="G11" s="748" t="s">
        <v>1152</v>
      </c>
      <c r="H11" s="1220"/>
    </row>
    <row r="12" spans="1:8" ht="39" thickBot="1" x14ac:dyDescent="0.25">
      <c r="A12" s="763">
        <v>4</v>
      </c>
      <c r="B12" s="747" t="s">
        <v>1153</v>
      </c>
      <c r="C12" s="747" t="s">
        <v>1154</v>
      </c>
      <c r="D12" s="748">
        <v>1</v>
      </c>
      <c r="E12" s="748">
        <v>0.25</v>
      </c>
      <c r="F12" s="748">
        <v>3</v>
      </c>
      <c r="G12" s="748" t="s">
        <v>1152</v>
      </c>
      <c r="H12" s="1220"/>
    </row>
    <row r="13" spans="1:8" ht="26.25" thickBot="1" x14ac:dyDescent="0.25">
      <c r="A13" s="763">
        <v>5</v>
      </c>
      <c r="B13" s="747" t="s">
        <v>1155</v>
      </c>
      <c r="C13" s="747" t="s">
        <v>1151</v>
      </c>
      <c r="D13" s="748">
        <v>2</v>
      </c>
      <c r="E13" s="748">
        <v>0.35</v>
      </c>
      <c r="F13" s="748">
        <v>8.4</v>
      </c>
      <c r="G13" s="748" t="s">
        <v>1152</v>
      </c>
      <c r="H13" s="1220"/>
    </row>
    <row r="14" spans="1:8" ht="13.5" thickBot="1" x14ac:dyDescent="0.25">
      <c r="A14" s="763">
        <v>6</v>
      </c>
      <c r="B14" s="747" t="s">
        <v>1156</v>
      </c>
      <c r="C14" s="747" t="s">
        <v>1157</v>
      </c>
      <c r="D14" s="748">
        <v>1</v>
      </c>
      <c r="E14" s="748">
        <v>0.25</v>
      </c>
      <c r="F14" s="748">
        <v>3</v>
      </c>
      <c r="G14" s="748" t="s">
        <v>1152</v>
      </c>
      <c r="H14" s="1220"/>
    </row>
    <row r="15" spans="1:8" ht="26.25" thickBot="1" x14ac:dyDescent="0.25">
      <c r="A15" s="763">
        <v>7</v>
      </c>
      <c r="B15" s="747" t="s">
        <v>1158</v>
      </c>
      <c r="C15" s="747" t="s">
        <v>1159</v>
      </c>
      <c r="D15" s="748">
        <v>5</v>
      </c>
      <c r="E15" s="748">
        <v>0.28000000000000003</v>
      </c>
      <c r="F15" s="748">
        <v>16.8</v>
      </c>
      <c r="G15" s="748" t="s">
        <v>1152</v>
      </c>
      <c r="H15" s="1220"/>
    </row>
    <row r="16" spans="1:8" ht="26.25" thickBot="1" x14ac:dyDescent="0.25">
      <c r="A16" s="764">
        <v>8</v>
      </c>
      <c r="B16" s="750" t="s">
        <v>1160</v>
      </c>
      <c r="C16" s="747" t="s">
        <v>1161</v>
      </c>
      <c r="D16" s="748">
        <v>1</v>
      </c>
      <c r="E16" s="748">
        <v>0.1</v>
      </c>
      <c r="F16" s="748">
        <v>1.2</v>
      </c>
      <c r="G16" s="748" t="s">
        <v>1162</v>
      </c>
      <c r="H16" s="1220"/>
    </row>
    <row r="17" spans="1:8" ht="13.5" thickBot="1" x14ac:dyDescent="0.25">
      <c r="A17" s="1212" t="s">
        <v>1163</v>
      </c>
      <c r="B17" s="1214"/>
      <c r="C17" s="751"/>
      <c r="D17" s="752">
        <v>13</v>
      </c>
      <c r="E17" s="752">
        <v>1.73</v>
      </c>
      <c r="F17" s="752">
        <v>38.4</v>
      </c>
      <c r="G17" s="749"/>
      <c r="H17" s="1221"/>
    </row>
    <row r="18" spans="1:8" ht="13.5" thickBot="1" x14ac:dyDescent="0.25">
      <c r="A18" s="1212" t="s">
        <v>1164</v>
      </c>
      <c r="B18" s="1213"/>
      <c r="C18" s="1213"/>
      <c r="D18" s="1213"/>
      <c r="E18" s="1213"/>
      <c r="F18" s="1213"/>
      <c r="G18" s="1222"/>
      <c r="H18" s="1223" t="s">
        <v>1165</v>
      </c>
    </row>
    <row r="19" spans="1:8" ht="26.25" thickBot="1" x14ac:dyDescent="0.25">
      <c r="A19" s="763">
        <v>1</v>
      </c>
      <c r="B19" s="747" t="s">
        <v>1155</v>
      </c>
      <c r="C19" s="747" t="s">
        <v>1151</v>
      </c>
      <c r="D19" s="748">
        <v>24</v>
      </c>
      <c r="E19" s="748">
        <v>0.3</v>
      </c>
      <c r="F19" s="748">
        <v>86.4</v>
      </c>
      <c r="G19" s="748" t="s">
        <v>1152</v>
      </c>
      <c r="H19" s="1224"/>
    </row>
    <row r="20" spans="1:8" ht="39" thickBot="1" x14ac:dyDescent="0.25">
      <c r="A20" s="763">
        <v>2</v>
      </c>
      <c r="B20" s="747" t="s">
        <v>1166</v>
      </c>
      <c r="C20" s="747" t="s">
        <v>1159</v>
      </c>
      <c r="D20" s="748">
        <v>24</v>
      </c>
      <c r="E20" s="748">
        <v>0.12</v>
      </c>
      <c r="F20" s="748">
        <v>34.56</v>
      </c>
      <c r="G20" s="748" t="s">
        <v>1152</v>
      </c>
      <c r="H20" s="1224"/>
    </row>
    <row r="21" spans="1:8" ht="13.5" thickBot="1" x14ac:dyDescent="0.25">
      <c r="A21" s="1212" t="s">
        <v>1167</v>
      </c>
      <c r="B21" s="1214"/>
      <c r="C21" s="751"/>
      <c r="D21" s="752">
        <v>48</v>
      </c>
      <c r="E21" s="752">
        <v>0.42</v>
      </c>
      <c r="F21" s="752">
        <v>120.96</v>
      </c>
      <c r="G21" s="749"/>
      <c r="H21" s="1225"/>
    </row>
    <row r="22" spans="1:8" ht="13.5" thickBot="1" x14ac:dyDescent="0.25">
      <c r="A22" s="1212" t="s">
        <v>1168</v>
      </c>
      <c r="B22" s="1213"/>
      <c r="C22" s="1213"/>
      <c r="D22" s="1213"/>
      <c r="E22" s="1213"/>
      <c r="F22" s="1213"/>
      <c r="G22" s="1222"/>
      <c r="H22" s="1223" t="s">
        <v>1165</v>
      </c>
    </row>
    <row r="23" spans="1:8" ht="39" thickBot="1" x14ac:dyDescent="0.25">
      <c r="A23" s="763">
        <v>1</v>
      </c>
      <c r="B23" s="747" t="s">
        <v>1169</v>
      </c>
      <c r="C23" s="747" t="s">
        <v>1159</v>
      </c>
      <c r="D23" s="748">
        <v>262</v>
      </c>
      <c r="E23" s="748">
        <v>0.09</v>
      </c>
      <c r="F23" s="748">
        <v>282.95999999999998</v>
      </c>
      <c r="G23" s="748" t="s">
        <v>1152</v>
      </c>
      <c r="H23" s="1224"/>
    </row>
    <row r="24" spans="1:8" ht="13.5" thickBot="1" x14ac:dyDescent="0.25">
      <c r="A24" s="1212" t="s">
        <v>1170</v>
      </c>
      <c r="B24" s="1214"/>
      <c r="C24" s="751"/>
      <c r="D24" s="752">
        <v>262</v>
      </c>
      <c r="E24" s="752">
        <v>0.09</v>
      </c>
      <c r="F24" s="752">
        <v>282.95999999999998</v>
      </c>
      <c r="G24" s="749"/>
      <c r="H24" s="1225"/>
    </row>
    <row r="25" spans="1:8" ht="13.5" thickBot="1" x14ac:dyDescent="0.25">
      <c r="A25" s="1212" t="s">
        <v>1171</v>
      </c>
      <c r="B25" s="1214"/>
      <c r="C25" s="751"/>
      <c r="D25" s="752">
        <v>297</v>
      </c>
      <c r="E25" s="752">
        <v>3.64</v>
      </c>
      <c r="F25" s="752">
        <v>442.32</v>
      </c>
      <c r="G25" s="749"/>
      <c r="H25" s="747"/>
    </row>
    <row r="26" spans="1:8" ht="18" x14ac:dyDescent="0.2">
      <c r="A26" s="765"/>
    </row>
    <row r="27" spans="1:8" ht="18.75" x14ac:dyDescent="0.2">
      <c r="A27" s="758" t="s">
        <v>1172</v>
      </c>
    </row>
    <row r="28" spans="1:8" ht="13.5" thickBot="1" x14ac:dyDescent="0.25">
      <c r="A28" s="766"/>
    </row>
    <row r="29" spans="1:8" ht="13.5" thickBot="1" x14ac:dyDescent="0.25">
      <c r="A29" s="1226" t="s">
        <v>1173</v>
      </c>
      <c r="B29" s="1228" t="s">
        <v>1174</v>
      </c>
      <c r="C29" s="753" t="s">
        <v>1175</v>
      </c>
      <c r="D29" s="1228" t="s">
        <v>1176</v>
      </c>
      <c r="E29" s="1228" t="s">
        <v>1177</v>
      </c>
    </row>
    <row r="30" spans="1:8" ht="13.5" thickBot="1" x14ac:dyDescent="0.25">
      <c r="A30" s="1227"/>
      <c r="B30" s="1229"/>
      <c r="C30" s="754" t="s">
        <v>1178</v>
      </c>
      <c r="D30" s="1229"/>
      <c r="E30" s="1229"/>
    </row>
    <row r="31" spans="1:8" ht="51.75" thickBot="1" x14ac:dyDescent="0.25">
      <c r="A31" s="767">
        <v>1</v>
      </c>
      <c r="B31" s="749" t="s">
        <v>103</v>
      </c>
      <c r="C31" s="749" t="s">
        <v>1179</v>
      </c>
      <c r="D31" s="755">
        <v>1</v>
      </c>
      <c r="E31" s="755">
        <v>71.5</v>
      </c>
    </row>
    <row r="32" spans="1:8" ht="26.25" thickBot="1" x14ac:dyDescent="0.25">
      <c r="A32" s="767">
        <v>2</v>
      </c>
      <c r="B32" s="749" t="s">
        <v>38</v>
      </c>
      <c r="C32" s="749" t="s">
        <v>1180</v>
      </c>
      <c r="D32" s="755" t="s">
        <v>1181</v>
      </c>
      <c r="E32" s="755">
        <v>36</v>
      </c>
    </row>
    <row r="33" spans="1:5" ht="26.25" thickBot="1" x14ac:dyDescent="0.25">
      <c r="A33" s="767">
        <v>3</v>
      </c>
      <c r="B33" s="749" t="s">
        <v>1182</v>
      </c>
      <c r="C33" s="749" t="s">
        <v>1183</v>
      </c>
      <c r="D33" s="755" t="s">
        <v>1184</v>
      </c>
      <c r="E33" s="755">
        <v>78.599999999999994</v>
      </c>
    </row>
    <row r="34" spans="1:5" ht="26.25" thickBot="1" x14ac:dyDescent="0.25">
      <c r="A34" s="767">
        <v>4</v>
      </c>
      <c r="B34" s="749" t="s">
        <v>391</v>
      </c>
      <c r="C34" s="749" t="s">
        <v>1185</v>
      </c>
      <c r="D34" s="755" t="s">
        <v>1186</v>
      </c>
      <c r="E34" s="755">
        <v>121.09</v>
      </c>
    </row>
    <row r="35" spans="1:5" ht="13.5" thickBot="1" x14ac:dyDescent="0.25">
      <c r="A35" s="767">
        <v>5</v>
      </c>
      <c r="B35" s="749" t="s">
        <v>391</v>
      </c>
      <c r="C35" s="749" t="s">
        <v>1187</v>
      </c>
      <c r="D35" s="755" t="s">
        <v>1188</v>
      </c>
      <c r="E35" s="755">
        <v>85</v>
      </c>
    </row>
    <row r="36" spans="1:5" ht="26.25" thickBot="1" x14ac:dyDescent="0.25">
      <c r="A36" s="767">
        <v>6</v>
      </c>
      <c r="B36" s="749" t="s">
        <v>1189</v>
      </c>
      <c r="C36" s="749" t="s">
        <v>1190</v>
      </c>
      <c r="D36" s="748" t="s">
        <v>1191</v>
      </c>
      <c r="E36" s="755">
        <v>115.21</v>
      </c>
    </row>
    <row r="37" spans="1:5" ht="13.5" thickBot="1" x14ac:dyDescent="0.25">
      <c r="A37" s="767">
        <v>7</v>
      </c>
      <c r="B37" s="749" t="s">
        <v>103</v>
      </c>
      <c r="C37" s="1235" t="s">
        <v>1192</v>
      </c>
      <c r="D37" s="755" t="s">
        <v>1193</v>
      </c>
      <c r="E37" s="755">
        <v>0.15</v>
      </c>
    </row>
    <row r="38" spans="1:5" ht="13.5" thickBot="1" x14ac:dyDescent="0.25">
      <c r="A38" s="767">
        <v>8</v>
      </c>
      <c r="B38" s="749" t="s">
        <v>38</v>
      </c>
      <c r="C38" s="1236"/>
      <c r="D38" s="755" t="s">
        <v>1194</v>
      </c>
      <c r="E38" s="755">
        <v>0.6</v>
      </c>
    </row>
    <row r="39" spans="1:5" ht="13.5" thickBot="1" x14ac:dyDescent="0.25">
      <c r="A39" s="767">
        <v>9</v>
      </c>
      <c r="B39" s="749" t="s">
        <v>1182</v>
      </c>
      <c r="C39" s="1236"/>
      <c r="D39" s="755" t="s">
        <v>1195</v>
      </c>
      <c r="E39" s="755">
        <v>1.31</v>
      </c>
    </row>
    <row r="40" spans="1:5" ht="26.25" thickBot="1" x14ac:dyDescent="0.25">
      <c r="A40" s="767">
        <v>10</v>
      </c>
      <c r="B40" s="749" t="s">
        <v>1196</v>
      </c>
      <c r="C40" s="1237"/>
      <c r="D40" s="755" t="s">
        <v>1197</v>
      </c>
      <c r="E40" s="755">
        <v>22.4</v>
      </c>
    </row>
    <row r="41" spans="1:5" ht="13.5" thickBot="1" x14ac:dyDescent="0.25">
      <c r="A41" s="1238" t="s">
        <v>1198</v>
      </c>
      <c r="B41" s="1239"/>
      <c r="C41" s="1240"/>
      <c r="D41" s="756"/>
      <c r="E41" s="754">
        <v>531.86</v>
      </c>
    </row>
    <row r="42" spans="1:5" x14ac:dyDescent="0.2">
      <c r="A42" s="768"/>
    </row>
    <row r="43" spans="1:5" ht="19.5" thickBot="1" x14ac:dyDescent="0.25">
      <c r="A43" s="758" t="s">
        <v>1199</v>
      </c>
    </row>
    <row r="44" spans="1:5" ht="26.25" thickBot="1" x14ac:dyDescent="0.25">
      <c r="A44" s="769" t="s">
        <v>1200</v>
      </c>
      <c r="B44" s="753" t="s">
        <v>1174</v>
      </c>
      <c r="C44" s="753" t="s">
        <v>1201</v>
      </c>
      <c r="D44" s="753" t="s">
        <v>1176</v>
      </c>
      <c r="E44" s="753" t="s">
        <v>1202</v>
      </c>
    </row>
    <row r="45" spans="1:5" x14ac:dyDescent="0.2">
      <c r="A45" s="1241">
        <v>1</v>
      </c>
      <c r="B45" s="1230" t="s">
        <v>1203</v>
      </c>
      <c r="C45" s="1219" t="s">
        <v>1204</v>
      </c>
      <c r="D45" s="1230" t="s">
        <v>1205</v>
      </c>
      <c r="E45" s="1230">
        <v>10</v>
      </c>
    </row>
    <row r="46" spans="1:5" ht="13.5" thickBot="1" x14ac:dyDescent="0.25">
      <c r="A46" s="1242"/>
      <c r="B46" s="1231"/>
      <c r="C46" s="1221"/>
      <c r="D46" s="1231"/>
      <c r="E46" s="1231"/>
    </row>
    <row r="47" spans="1:5" ht="26.25" thickBot="1" x14ac:dyDescent="0.25">
      <c r="A47" s="763">
        <v>2</v>
      </c>
      <c r="B47" s="748" t="s">
        <v>1206</v>
      </c>
      <c r="C47" s="747" t="s">
        <v>1207</v>
      </c>
      <c r="D47" s="748" t="s">
        <v>1208</v>
      </c>
      <c r="E47" s="748">
        <v>397.95</v>
      </c>
    </row>
    <row r="48" spans="1:5" ht="13.5" thickBot="1" x14ac:dyDescent="0.25">
      <c r="A48" s="1232" t="s">
        <v>18</v>
      </c>
      <c r="B48" s="1233"/>
      <c r="C48" s="1233"/>
      <c r="D48" s="1234"/>
      <c r="E48" s="752">
        <v>407.95</v>
      </c>
    </row>
    <row r="49" spans="1:5" x14ac:dyDescent="0.2">
      <c r="A49" s="770"/>
    </row>
    <row r="50" spans="1:5" ht="18.75" x14ac:dyDescent="0.2">
      <c r="A50" s="758" t="s">
        <v>1209</v>
      </c>
    </row>
    <row r="51" spans="1:5" ht="13.5" thickBot="1" x14ac:dyDescent="0.25">
      <c r="A51" s="771"/>
    </row>
    <row r="52" spans="1:5" ht="13.5" thickBot="1" x14ac:dyDescent="0.25">
      <c r="C52" s="772" t="s">
        <v>1210</v>
      </c>
      <c r="D52" s="757">
        <v>442.32</v>
      </c>
    </row>
    <row r="53" spans="1:5" ht="13.5" thickBot="1" x14ac:dyDescent="0.25">
      <c r="C53" s="767" t="s">
        <v>1211</v>
      </c>
      <c r="D53" s="755">
        <v>531.86</v>
      </c>
    </row>
    <row r="54" spans="1:5" ht="13.5" thickBot="1" x14ac:dyDescent="0.25">
      <c r="C54" s="767" t="s">
        <v>1212</v>
      </c>
      <c r="D54" s="755">
        <v>407.95</v>
      </c>
    </row>
    <row r="55" spans="1:5" ht="13.5" thickBot="1" x14ac:dyDescent="0.25">
      <c r="C55" s="773" t="s">
        <v>1213</v>
      </c>
      <c r="D55" s="754">
        <v>1382.13</v>
      </c>
    </row>
    <row r="56" spans="1:5" ht="24" x14ac:dyDescent="0.2">
      <c r="C56" s="774"/>
    </row>
    <row r="57" spans="1:5" ht="24" x14ac:dyDescent="0.2">
      <c r="C57" s="774"/>
    </row>
    <row r="58" spans="1:5" x14ac:dyDescent="0.2">
      <c r="E58" s="775" t="s">
        <v>1214</v>
      </c>
    </row>
    <row r="59" spans="1:5" x14ac:dyDescent="0.2">
      <c r="E59" s="775" t="s">
        <v>1215</v>
      </c>
    </row>
  </sheetData>
  <mergeCells count="23">
    <mergeCell ref="E45:E46"/>
    <mergeCell ref="A48:D48"/>
    <mergeCell ref="C37:C40"/>
    <mergeCell ref="A41:C41"/>
    <mergeCell ref="A45:A46"/>
    <mergeCell ref="B45:B46"/>
    <mergeCell ref="C45:C46"/>
    <mergeCell ref="D45:D46"/>
    <mergeCell ref="A22:G22"/>
    <mergeCell ref="H22:H24"/>
    <mergeCell ref="A24:B24"/>
    <mergeCell ref="A25:B25"/>
    <mergeCell ref="A29:A30"/>
    <mergeCell ref="B29:B30"/>
    <mergeCell ref="D29:D30"/>
    <mergeCell ref="E29:E30"/>
    <mergeCell ref="A8:H8"/>
    <mergeCell ref="E9:F10"/>
    <mergeCell ref="H10:H17"/>
    <mergeCell ref="A17:B17"/>
    <mergeCell ref="A18:G18"/>
    <mergeCell ref="H18:H21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1" max="16383" man="1"/>
    <brk id="42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L34"/>
  <sheetViews>
    <sheetView zoomScale="110" zoomScaleNormal="110" workbookViewId="0">
      <selection activeCell="C29" sqref="C29"/>
    </sheetView>
  </sheetViews>
  <sheetFormatPr defaultRowHeight="12.75" x14ac:dyDescent="0.2"/>
  <cols>
    <col min="1" max="1" width="9.140625" style="558" customWidth="1"/>
    <col min="2" max="2" width="15.7109375" style="81" customWidth="1"/>
    <col min="3" max="3" width="11.7109375" style="81" customWidth="1"/>
    <col min="4" max="4" width="13.5703125" style="262" customWidth="1"/>
    <col min="5" max="5" width="13.42578125" style="558" customWidth="1"/>
    <col min="6" max="6" width="10.28515625" style="81" customWidth="1"/>
    <col min="7" max="7" width="11.28515625" style="81" customWidth="1"/>
    <col min="8" max="8" width="10.7109375" style="81" customWidth="1"/>
    <col min="9" max="9" width="11.28515625" style="81" bestFit="1" customWidth="1"/>
    <col min="10" max="10" width="11.42578125" style="81" customWidth="1"/>
    <col min="11" max="11" width="11.28515625" style="81" customWidth="1"/>
    <col min="12" max="12" width="12.5703125" style="81" bestFit="1" customWidth="1"/>
    <col min="13" max="256" width="9.140625" style="81"/>
    <col min="257" max="257" width="9.140625" style="81" customWidth="1"/>
    <col min="258" max="258" width="15.7109375" style="81" customWidth="1"/>
    <col min="259" max="259" width="11.7109375" style="81" customWidth="1"/>
    <col min="260" max="260" width="13.5703125" style="81" customWidth="1"/>
    <col min="261" max="261" width="13.42578125" style="81" customWidth="1"/>
    <col min="262" max="262" width="10.28515625" style="81" customWidth="1"/>
    <col min="263" max="263" width="11.28515625" style="81" customWidth="1"/>
    <col min="264" max="264" width="10.7109375" style="81" customWidth="1"/>
    <col min="265" max="265" width="11.28515625" style="81" bestFit="1" customWidth="1"/>
    <col min="266" max="266" width="11.42578125" style="81" customWidth="1"/>
    <col min="267" max="267" width="11.28515625" style="81" customWidth="1"/>
    <col min="268" max="268" width="12.5703125" style="81" bestFit="1" customWidth="1"/>
    <col min="269" max="512" width="9.140625" style="81"/>
    <col min="513" max="513" width="9.140625" style="81" customWidth="1"/>
    <col min="514" max="514" width="15.7109375" style="81" customWidth="1"/>
    <col min="515" max="515" width="11.7109375" style="81" customWidth="1"/>
    <col min="516" max="516" width="13.5703125" style="81" customWidth="1"/>
    <col min="517" max="517" width="13.42578125" style="81" customWidth="1"/>
    <col min="518" max="518" width="10.28515625" style="81" customWidth="1"/>
    <col min="519" max="519" width="11.28515625" style="81" customWidth="1"/>
    <col min="520" max="520" width="10.7109375" style="81" customWidth="1"/>
    <col min="521" max="521" width="11.28515625" style="81" bestFit="1" customWidth="1"/>
    <col min="522" max="522" width="11.42578125" style="81" customWidth="1"/>
    <col min="523" max="523" width="11.28515625" style="81" customWidth="1"/>
    <col min="524" max="524" width="12.5703125" style="81" bestFit="1" customWidth="1"/>
    <col min="525" max="768" width="9.140625" style="81"/>
    <col min="769" max="769" width="9.140625" style="81" customWidth="1"/>
    <col min="770" max="770" width="15.7109375" style="81" customWidth="1"/>
    <col min="771" max="771" width="11.7109375" style="81" customWidth="1"/>
    <col min="772" max="772" width="13.5703125" style="81" customWidth="1"/>
    <col min="773" max="773" width="13.42578125" style="81" customWidth="1"/>
    <col min="774" max="774" width="10.28515625" style="81" customWidth="1"/>
    <col min="775" max="775" width="11.28515625" style="81" customWidth="1"/>
    <col min="776" max="776" width="10.7109375" style="81" customWidth="1"/>
    <col min="777" max="777" width="11.28515625" style="81" bestFit="1" customWidth="1"/>
    <col min="778" max="778" width="11.42578125" style="81" customWidth="1"/>
    <col min="779" max="779" width="11.28515625" style="81" customWidth="1"/>
    <col min="780" max="780" width="12.5703125" style="81" bestFit="1" customWidth="1"/>
    <col min="781" max="1024" width="9.140625" style="81"/>
    <col min="1025" max="1025" width="9.140625" style="81" customWidth="1"/>
    <col min="1026" max="1026" width="15.7109375" style="81" customWidth="1"/>
    <col min="1027" max="1027" width="11.7109375" style="81" customWidth="1"/>
    <col min="1028" max="1028" width="13.5703125" style="81" customWidth="1"/>
    <col min="1029" max="1029" width="13.42578125" style="81" customWidth="1"/>
    <col min="1030" max="1030" width="10.28515625" style="81" customWidth="1"/>
    <col min="1031" max="1031" width="11.28515625" style="81" customWidth="1"/>
    <col min="1032" max="1032" width="10.7109375" style="81" customWidth="1"/>
    <col min="1033" max="1033" width="11.28515625" style="81" bestFit="1" customWidth="1"/>
    <col min="1034" max="1034" width="11.42578125" style="81" customWidth="1"/>
    <col min="1035" max="1035" width="11.28515625" style="81" customWidth="1"/>
    <col min="1036" max="1036" width="12.5703125" style="81" bestFit="1" customWidth="1"/>
    <col min="1037" max="1280" width="9.140625" style="81"/>
    <col min="1281" max="1281" width="9.140625" style="81" customWidth="1"/>
    <col min="1282" max="1282" width="15.7109375" style="81" customWidth="1"/>
    <col min="1283" max="1283" width="11.7109375" style="81" customWidth="1"/>
    <col min="1284" max="1284" width="13.5703125" style="81" customWidth="1"/>
    <col min="1285" max="1285" width="13.42578125" style="81" customWidth="1"/>
    <col min="1286" max="1286" width="10.28515625" style="81" customWidth="1"/>
    <col min="1287" max="1287" width="11.28515625" style="81" customWidth="1"/>
    <col min="1288" max="1288" width="10.7109375" style="81" customWidth="1"/>
    <col min="1289" max="1289" width="11.28515625" style="81" bestFit="1" customWidth="1"/>
    <col min="1290" max="1290" width="11.42578125" style="81" customWidth="1"/>
    <col min="1291" max="1291" width="11.28515625" style="81" customWidth="1"/>
    <col min="1292" max="1292" width="12.5703125" style="81" bestFit="1" customWidth="1"/>
    <col min="1293" max="1536" width="9.140625" style="81"/>
    <col min="1537" max="1537" width="9.140625" style="81" customWidth="1"/>
    <col min="1538" max="1538" width="15.7109375" style="81" customWidth="1"/>
    <col min="1539" max="1539" width="11.7109375" style="81" customWidth="1"/>
    <col min="1540" max="1540" width="13.5703125" style="81" customWidth="1"/>
    <col min="1541" max="1541" width="13.42578125" style="81" customWidth="1"/>
    <col min="1542" max="1542" width="10.28515625" style="81" customWidth="1"/>
    <col min="1543" max="1543" width="11.28515625" style="81" customWidth="1"/>
    <col min="1544" max="1544" width="10.7109375" style="81" customWidth="1"/>
    <col min="1545" max="1545" width="11.28515625" style="81" bestFit="1" customWidth="1"/>
    <col min="1546" max="1546" width="11.42578125" style="81" customWidth="1"/>
    <col min="1547" max="1547" width="11.28515625" style="81" customWidth="1"/>
    <col min="1548" max="1548" width="12.5703125" style="81" bestFit="1" customWidth="1"/>
    <col min="1549" max="1792" width="9.140625" style="81"/>
    <col min="1793" max="1793" width="9.140625" style="81" customWidth="1"/>
    <col min="1794" max="1794" width="15.7109375" style="81" customWidth="1"/>
    <col min="1795" max="1795" width="11.7109375" style="81" customWidth="1"/>
    <col min="1796" max="1796" width="13.5703125" style="81" customWidth="1"/>
    <col min="1797" max="1797" width="13.42578125" style="81" customWidth="1"/>
    <col min="1798" max="1798" width="10.28515625" style="81" customWidth="1"/>
    <col min="1799" max="1799" width="11.28515625" style="81" customWidth="1"/>
    <col min="1800" max="1800" width="10.7109375" style="81" customWidth="1"/>
    <col min="1801" max="1801" width="11.28515625" style="81" bestFit="1" customWidth="1"/>
    <col min="1802" max="1802" width="11.42578125" style="81" customWidth="1"/>
    <col min="1803" max="1803" width="11.28515625" style="81" customWidth="1"/>
    <col min="1804" max="1804" width="12.5703125" style="81" bestFit="1" customWidth="1"/>
    <col min="1805" max="2048" width="9.140625" style="81"/>
    <col min="2049" max="2049" width="9.140625" style="81" customWidth="1"/>
    <col min="2050" max="2050" width="15.7109375" style="81" customWidth="1"/>
    <col min="2051" max="2051" width="11.7109375" style="81" customWidth="1"/>
    <col min="2052" max="2052" width="13.5703125" style="81" customWidth="1"/>
    <col min="2053" max="2053" width="13.42578125" style="81" customWidth="1"/>
    <col min="2054" max="2054" width="10.28515625" style="81" customWidth="1"/>
    <col min="2055" max="2055" width="11.28515625" style="81" customWidth="1"/>
    <col min="2056" max="2056" width="10.7109375" style="81" customWidth="1"/>
    <col min="2057" max="2057" width="11.28515625" style="81" bestFit="1" customWidth="1"/>
    <col min="2058" max="2058" width="11.42578125" style="81" customWidth="1"/>
    <col min="2059" max="2059" width="11.28515625" style="81" customWidth="1"/>
    <col min="2060" max="2060" width="12.5703125" style="81" bestFit="1" customWidth="1"/>
    <col min="2061" max="2304" width="9.140625" style="81"/>
    <col min="2305" max="2305" width="9.140625" style="81" customWidth="1"/>
    <col min="2306" max="2306" width="15.7109375" style="81" customWidth="1"/>
    <col min="2307" max="2307" width="11.7109375" style="81" customWidth="1"/>
    <col min="2308" max="2308" width="13.5703125" style="81" customWidth="1"/>
    <col min="2309" max="2309" width="13.42578125" style="81" customWidth="1"/>
    <col min="2310" max="2310" width="10.28515625" style="81" customWidth="1"/>
    <col min="2311" max="2311" width="11.28515625" style="81" customWidth="1"/>
    <col min="2312" max="2312" width="10.7109375" style="81" customWidth="1"/>
    <col min="2313" max="2313" width="11.28515625" style="81" bestFit="1" customWidth="1"/>
    <col min="2314" max="2314" width="11.42578125" style="81" customWidth="1"/>
    <col min="2315" max="2315" width="11.28515625" style="81" customWidth="1"/>
    <col min="2316" max="2316" width="12.5703125" style="81" bestFit="1" customWidth="1"/>
    <col min="2317" max="2560" width="9.140625" style="81"/>
    <col min="2561" max="2561" width="9.140625" style="81" customWidth="1"/>
    <col min="2562" max="2562" width="15.7109375" style="81" customWidth="1"/>
    <col min="2563" max="2563" width="11.7109375" style="81" customWidth="1"/>
    <col min="2564" max="2564" width="13.5703125" style="81" customWidth="1"/>
    <col min="2565" max="2565" width="13.42578125" style="81" customWidth="1"/>
    <col min="2566" max="2566" width="10.28515625" style="81" customWidth="1"/>
    <col min="2567" max="2567" width="11.28515625" style="81" customWidth="1"/>
    <col min="2568" max="2568" width="10.7109375" style="81" customWidth="1"/>
    <col min="2569" max="2569" width="11.28515625" style="81" bestFit="1" customWidth="1"/>
    <col min="2570" max="2570" width="11.42578125" style="81" customWidth="1"/>
    <col min="2571" max="2571" width="11.28515625" style="81" customWidth="1"/>
    <col min="2572" max="2572" width="12.5703125" style="81" bestFit="1" customWidth="1"/>
    <col min="2573" max="2816" width="9.140625" style="81"/>
    <col min="2817" max="2817" width="9.140625" style="81" customWidth="1"/>
    <col min="2818" max="2818" width="15.7109375" style="81" customWidth="1"/>
    <col min="2819" max="2819" width="11.7109375" style="81" customWidth="1"/>
    <col min="2820" max="2820" width="13.5703125" style="81" customWidth="1"/>
    <col min="2821" max="2821" width="13.42578125" style="81" customWidth="1"/>
    <col min="2822" max="2822" width="10.28515625" style="81" customWidth="1"/>
    <col min="2823" max="2823" width="11.28515625" style="81" customWidth="1"/>
    <col min="2824" max="2824" width="10.7109375" style="81" customWidth="1"/>
    <col min="2825" max="2825" width="11.28515625" style="81" bestFit="1" customWidth="1"/>
    <col min="2826" max="2826" width="11.42578125" style="81" customWidth="1"/>
    <col min="2827" max="2827" width="11.28515625" style="81" customWidth="1"/>
    <col min="2828" max="2828" width="12.5703125" style="81" bestFit="1" customWidth="1"/>
    <col min="2829" max="3072" width="9.140625" style="81"/>
    <col min="3073" max="3073" width="9.140625" style="81" customWidth="1"/>
    <col min="3074" max="3074" width="15.7109375" style="81" customWidth="1"/>
    <col min="3075" max="3075" width="11.7109375" style="81" customWidth="1"/>
    <col min="3076" max="3076" width="13.5703125" style="81" customWidth="1"/>
    <col min="3077" max="3077" width="13.42578125" style="81" customWidth="1"/>
    <col min="3078" max="3078" width="10.28515625" style="81" customWidth="1"/>
    <col min="3079" max="3079" width="11.28515625" style="81" customWidth="1"/>
    <col min="3080" max="3080" width="10.7109375" style="81" customWidth="1"/>
    <col min="3081" max="3081" width="11.28515625" style="81" bestFit="1" customWidth="1"/>
    <col min="3082" max="3082" width="11.42578125" style="81" customWidth="1"/>
    <col min="3083" max="3083" width="11.28515625" style="81" customWidth="1"/>
    <col min="3084" max="3084" width="12.5703125" style="81" bestFit="1" customWidth="1"/>
    <col min="3085" max="3328" width="9.140625" style="81"/>
    <col min="3329" max="3329" width="9.140625" style="81" customWidth="1"/>
    <col min="3330" max="3330" width="15.7109375" style="81" customWidth="1"/>
    <col min="3331" max="3331" width="11.7109375" style="81" customWidth="1"/>
    <col min="3332" max="3332" width="13.5703125" style="81" customWidth="1"/>
    <col min="3333" max="3333" width="13.42578125" style="81" customWidth="1"/>
    <col min="3334" max="3334" width="10.28515625" style="81" customWidth="1"/>
    <col min="3335" max="3335" width="11.28515625" style="81" customWidth="1"/>
    <col min="3336" max="3336" width="10.7109375" style="81" customWidth="1"/>
    <col min="3337" max="3337" width="11.28515625" style="81" bestFit="1" customWidth="1"/>
    <col min="3338" max="3338" width="11.42578125" style="81" customWidth="1"/>
    <col min="3339" max="3339" width="11.28515625" style="81" customWidth="1"/>
    <col min="3340" max="3340" width="12.5703125" style="81" bestFit="1" customWidth="1"/>
    <col min="3341" max="3584" width="9.140625" style="81"/>
    <col min="3585" max="3585" width="9.140625" style="81" customWidth="1"/>
    <col min="3586" max="3586" width="15.7109375" style="81" customWidth="1"/>
    <col min="3587" max="3587" width="11.7109375" style="81" customWidth="1"/>
    <col min="3588" max="3588" width="13.5703125" style="81" customWidth="1"/>
    <col min="3589" max="3589" width="13.42578125" style="81" customWidth="1"/>
    <col min="3590" max="3590" width="10.28515625" style="81" customWidth="1"/>
    <col min="3591" max="3591" width="11.28515625" style="81" customWidth="1"/>
    <col min="3592" max="3592" width="10.7109375" style="81" customWidth="1"/>
    <col min="3593" max="3593" width="11.28515625" style="81" bestFit="1" customWidth="1"/>
    <col min="3594" max="3594" width="11.42578125" style="81" customWidth="1"/>
    <col min="3595" max="3595" width="11.28515625" style="81" customWidth="1"/>
    <col min="3596" max="3596" width="12.5703125" style="81" bestFit="1" customWidth="1"/>
    <col min="3597" max="3840" width="9.140625" style="81"/>
    <col min="3841" max="3841" width="9.140625" style="81" customWidth="1"/>
    <col min="3842" max="3842" width="15.7109375" style="81" customWidth="1"/>
    <col min="3843" max="3843" width="11.7109375" style="81" customWidth="1"/>
    <col min="3844" max="3844" width="13.5703125" style="81" customWidth="1"/>
    <col min="3845" max="3845" width="13.42578125" style="81" customWidth="1"/>
    <col min="3846" max="3846" width="10.28515625" style="81" customWidth="1"/>
    <col min="3847" max="3847" width="11.28515625" style="81" customWidth="1"/>
    <col min="3848" max="3848" width="10.7109375" style="81" customWidth="1"/>
    <col min="3849" max="3849" width="11.28515625" style="81" bestFit="1" customWidth="1"/>
    <col min="3850" max="3850" width="11.42578125" style="81" customWidth="1"/>
    <col min="3851" max="3851" width="11.28515625" style="81" customWidth="1"/>
    <col min="3852" max="3852" width="12.5703125" style="81" bestFit="1" customWidth="1"/>
    <col min="3853" max="4096" width="9.140625" style="81"/>
    <col min="4097" max="4097" width="9.140625" style="81" customWidth="1"/>
    <col min="4098" max="4098" width="15.7109375" style="81" customWidth="1"/>
    <col min="4099" max="4099" width="11.7109375" style="81" customWidth="1"/>
    <col min="4100" max="4100" width="13.5703125" style="81" customWidth="1"/>
    <col min="4101" max="4101" width="13.42578125" style="81" customWidth="1"/>
    <col min="4102" max="4102" width="10.28515625" style="81" customWidth="1"/>
    <col min="4103" max="4103" width="11.28515625" style="81" customWidth="1"/>
    <col min="4104" max="4104" width="10.7109375" style="81" customWidth="1"/>
    <col min="4105" max="4105" width="11.28515625" style="81" bestFit="1" customWidth="1"/>
    <col min="4106" max="4106" width="11.42578125" style="81" customWidth="1"/>
    <col min="4107" max="4107" width="11.28515625" style="81" customWidth="1"/>
    <col min="4108" max="4108" width="12.5703125" style="81" bestFit="1" customWidth="1"/>
    <col min="4109" max="4352" width="9.140625" style="81"/>
    <col min="4353" max="4353" width="9.140625" style="81" customWidth="1"/>
    <col min="4354" max="4354" width="15.7109375" style="81" customWidth="1"/>
    <col min="4355" max="4355" width="11.7109375" style="81" customWidth="1"/>
    <col min="4356" max="4356" width="13.5703125" style="81" customWidth="1"/>
    <col min="4357" max="4357" width="13.42578125" style="81" customWidth="1"/>
    <col min="4358" max="4358" width="10.28515625" style="81" customWidth="1"/>
    <col min="4359" max="4359" width="11.28515625" style="81" customWidth="1"/>
    <col min="4360" max="4360" width="10.7109375" style="81" customWidth="1"/>
    <col min="4361" max="4361" width="11.28515625" style="81" bestFit="1" customWidth="1"/>
    <col min="4362" max="4362" width="11.42578125" style="81" customWidth="1"/>
    <col min="4363" max="4363" width="11.28515625" style="81" customWidth="1"/>
    <col min="4364" max="4364" width="12.5703125" style="81" bestFit="1" customWidth="1"/>
    <col min="4365" max="4608" width="9.140625" style="81"/>
    <col min="4609" max="4609" width="9.140625" style="81" customWidth="1"/>
    <col min="4610" max="4610" width="15.7109375" style="81" customWidth="1"/>
    <col min="4611" max="4611" width="11.7109375" style="81" customWidth="1"/>
    <col min="4612" max="4612" width="13.5703125" style="81" customWidth="1"/>
    <col min="4613" max="4613" width="13.42578125" style="81" customWidth="1"/>
    <col min="4614" max="4614" width="10.28515625" style="81" customWidth="1"/>
    <col min="4615" max="4615" width="11.28515625" style="81" customWidth="1"/>
    <col min="4616" max="4616" width="10.7109375" style="81" customWidth="1"/>
    <col min="4617" max="4617" width="11.28515625" style="81" bestFit="1" customWidth="1"/>
    <col min="4618" max="4618" width="11.42578125" style="81" customWidth="1"/>
    <col min="4619" max="4619" width="11.28515625" style="81" customWidth="1"/>
    <col min="4620" max="4620" width="12.5703125" style="81" bestFit="1" customWidth="1"/>
    <col min="4621" max="4864" width="9.140625" style="81"/>
    <col min="4865" max="4865" width="9.140625" style="81" customWidth="1"/>
    <col min="4866" max="4866" width="15.7109375" style="81" customWidth="1"/>
    <col min="4867" max="4867" width="11.7109375" style="81" customWidth="1"/>
    <col min="4868" max="4868" width="13.5703125" style="81" customWidth="1"/>
    <col min="4869" max="4869" width="13.42578125" style="81" customWidth="1"/>
    <col min="4870" max="4870" width="10.28515625" style="81" customWidth="1"/>
    <col min="4871" max="4871" width="11.28515625" style="81" customWidth="1"/>
    <col min="4872" max="4872" width="10.7109375" style="81" customWidth="1"/>
    <col min="4873" max="4873" width="11.28515625" style="81" bestFit="1" customWidth="1"/>
    <col min="4874" max="4874" width="11.42578125" style="81" customWidth="1"/>
    <col min="4875" max="4875" width="11.28515625" style="81" customWidth="1"/>
    <col min="4876" max="4876" width="12.5703125" style="81" bestFit="1" customWidth="1"/>
    <col min="4877" max="5120" width="9.140625" style="81"/>
    <col min="5121" max="5121" width="9.140625" style="81" customWidth="1"/>
    <col min="5122" max="5122" width="15.7109375" style="81" customWidth="1"/>
    <col min="5123" max="5123" width="11.7109375" style="81" customWidth="1"/>
    <col min="5124" max="5124" width="13.5703125" style="81" customWidth="1"/>
    <col min="5125" max="5125" width="13.42578125" style="81" customWidth="1"/>
    <col min="5126" max="5126" width="10.28515625" style="81" customWidth="1"/>
    <col min="5127" max="5127" width="11.28515625" style="81" customWidth="1"/>
    <col min="5128" max="5128" width="10.7109375" style="81" customWidth="1"/>
    <col min="5129" max="5129" width="11.28515625" style="81" bestFit="1" customWidth="1"/>
    <col min="5130" max="5130" width="11.42578125" style="81" customWidth="1"/>
    <col min="5131" max="5131" width="11.28515625" style="81" customWidth="1"/>
    <col min="5132" max="5132" width="12.5703125" style="81" bestFit="1" customWidth="1"/>
    <col min="5133" max="5376" width="9.140625" style="81"/>
    <col min="5377" max="5377" width="9.140625" style="81" customWidth="1"/>
    <col min="5378" max="5378" width="15.7109375" style="81" customWidth="1"/>
    <col min="5379" max="5379" width="11.7109375" style="81" customWidth="1"/>
    <col min="5380" max="5380" width="13.5703125" style="81" customWidth="1"/>
    <col min="5381" max="5381" width="13.42578125" style="81" customWidth="1"/>
    <col min="5382" max="5382" width="10.28515625" style="81" customWidth="1"/>
    <col min="5383" max="5383" width="11.28515625" style="81" customWidth="1"/>
    <col min="5384" max="5384" width="10.7109375" style="81" customWidth="1"/>
    <col min="5385" max="5385" width="11.28515625" style="81" bestFit="1" customWidth="1"/>
    <col min="5386" max="5386" width="11.42578125" style="81" customWidth="1"/>
    <col min="5387" max="5387" width="11.28515625" style="81" customWidth="1"/>
    <col min="5388" max="5388" width="12.5703125" style="81" bestFit="1" customWidth="1"/>
    <col min="5389" max="5632" width="9.140625" style="81"/>
    <col min="5633" max="5633" width="9.140625" style="81" customWidth="1"/>
    <col min="5634" max="5634" width="15.7109375" style="81" customWidth="1"/>
    <col min="5635" max="5635" width="11.7109375" style="81" customWidth="1"/>
    <col min="5636" max="5636" width="13.5703125" style="81" customWidth="1"/>
    <col min="5637" max="5637" width="13.42578125" style="81" customWidth="1"/>
    <col min="5638" max="5638" width="10.28515625" style="81" customWidth="1"/>
    <col min="5639" max="5639" width="11.28515625" style="81" customWidth="1"/>
    <col min="5640" max="5640" width="10.7109375" style="81" customWidth="1"/>
    <col min="5641" max="5641" width="11.28515625" style="81" bestFit="1" customWidth="1"/>
    <col min="5642" max="5642" width="11.42578125" style="81" customWidth="1"/>
    <col min="5643" max="5643" width="11.28515625" style="81" customWidth="1"/>
    <col min="5644" max="5644" width="12.5703125" style="81" bestFit="1" customWidth="1"/>
    <col min="5645" max="5888" width="9.140625" style="81"/>
    <col min="5889" max="5889" width="9.140625" style="81" customWidth="1"/>
    <col min="5890" max="5890" width="15.7109375" style="81" customWidth="1"/>
    <col min="5891" max="5891" width="11.7109375" style="81" customWidth="1"/>
    <col min="5892" max="5892" width="13.5703125" style="81" customWidth="1"/>
    <col min="5893" max="5893" width="13.42578125" style="81" customWidth="1"/>
    <col min="5894" max="5894" width="10.28515625" style="81" customWidth="1"/>
    <col min="5895" max="5895" width="11.28515625" style="81" customWidth="1"/>
    <col min="5896" max="5896" width="10.7109375" style="81" customWidth="1"/>
    <col min="5897" max="5897" width="11.28515625" style="81" bestFit="1" customWidth="1"/>
    <col min="5898" max="5898" width="11.42578125" style="81" customWidth="1"/>
    <col min="5899" max="5899" width="11.28515625" style="81" customWidth="1"/>
    <col min="5900" max="5900" width="12.5703125" style="81" bestFit="1" customWidth="1"/>
    <col min="5901" max="6144" width="9.140625" style="81"/>
    <col min="6145" max="6145" width="9.140625" style="81" customWidth="1"/>
    <col min="6146" max="6146" width="15.7109375" style="81" customWidth="1"/>
    <col min="6147" max="6147" width="11.7109375" style="81" customWidth="1"/>
    <col min="6148" max="6148" width="13.5703125" style="81" customWidth="1"/>
    <col min="6149" max="6149" width="13.42578125" style="81" customWidth="1"/>
    <col min="6150" max="6150" width="10.28515625" style="81" customWidth="1"/>
    <col min="6151" max="6151" width="11.28515625" style="81" customWidth="1"/>
    <col min="6152" max="6152" width="10.7109375" style="81" customWidth="1"/>
    <col min="6153" max="6153" width="11.28515625" style="81" bestFit="1" customWidth="1"/>
    <col min="6154" max="6154" width="11.42578125" style="81" customWidth="1"/>
    <col min="6155" max="6155" width="11.28515625" style="81" customWidth="1"/>
    <col min="6156" max="6156" width="12.5703125" style="81" bestFit="1" customWidth="1"/>
    <col min="6157" max="6400" width="9.140625" style="81"/>
    <col min="6401" max="6401" width="9.140625" style="81" customWidth="1"/>
    <col min="6402" max="6402" width="15.7109375" style="81" customWidth="1"/>
    <col min="6403" max="6403" width="11.7109375" style="81" customWidth="1"/>
    <col min="6404" max="6404" width="13.5703125" style="81" customWidth="1"/>
    <col min="6405" max="6405" width="13.42578125" style="81" customWidth="1"/>
    <col min="6406" max="6406" width="10.28515625" style="81" customWidth="1"/>
    <col min="6407" max="6407" width="11.28515625" style="81" customWidth="1"/>
    <col min="6408" max="6408" width="10.7109375" style="81" customWidth="1"/>
    <col min="6409" max="6409" width="11.28515625" style="81" bestFit="1" customWidth="1"/>
    <col min="6410" max="6410" width="11.42578125" style="81" customWidth="1"/>
    <col min="6411" max="6411" width="11.28515625" style="81" customWidth="1"/>
    <col min="6412" max="6412" width="12.5703125" style="81" bestFit="1" customWidth="1"/>
    <col min="6413" max="6656" width="9.140625" style="81"/>
    <col min="6657" max="6657" width="9.140625" style="81" customWidth="1"/>
    <col min="6658" max="6658" width="15.7109375" style="81" customWidth="1"/>
    <col min="6659" max="6659" width="11.7109375" style="81" customWidth="1"/>
    <col min="6660" max="6660" width="13.5703125" style="81" customWidth="1"/>
    <col min="6661" max="6661" width="13.42578125" style="81" customWidth="1"/>
    <col min="6662" max="6662" width="10.28515625" style="81" customWidth="1"/>
    <col min="6663" max="6663" width="11.28515625" style="81" customWidth="1"/>
    <col min="6664" max="6664" width="10.7109375" style="81" customWidth="1"/>
    <col min="6665" max="6665" width="11.28515625" style="81" bestFit="1" customWidth="1"/>
    <col min="6666" max="6666" width="11.42578125" style="81" customWidth="1"/>
    <col min="6667" max="6667" width="11.28515625" style="81" customWidth="1"/>
    <col min="6668" max="6668" width="12.5703125" style="81" bestFit="1" customWidth="1"/>
    <col min="6669" max="6912" width="9.140625" style="81"/>
    <col min="6913" max="6913" width="9.140625" style="81" customWidth="1"/>
    <col min="6914" max="6914" width="15.7109375" style="81" customWidth="1"/>
    <col min="6915" max="6915" width="11.7109375" style="81" customWidth="1"/>
    <col min="6916" max="6916" width="13.5703125" style="81" customWidth="1"/>
    <col min="6917" max="6917" width="13.42578125" style="81" customWidth="1"/>
    <col min="6918" max="6918" width="10.28515625" style="81" customWidth="1"/>
    <col min="6919" max="6919" width="11.28515625" style="81" customWidth="1"/>
    <col min="6920" max="6920" width="10.7109375" style="81" customWidth="1"/>
    <col min="6921" max="6921" width="11.28515625" style="81" bestFit="1" customWidth="1"/>
    <col min="6922" max="6922" width="11.42578125" style="81" customWidth="1"/>
    <col min="6923" max="6923" width="11.28515625" style="81" customWidth="1"/>
    <col min="6924" max="6924" width="12.5703125" style="81" bestFit="1" customWidth="1"/>
    <col min="6925" max="7168" width="9.140625" style="81"/>
    <col min="7169" max="7169" width="9.140625" style="81" customWidth="1"/>
    <col min="7170" max="7170" width="15.7109375" style="81" customWidth="1"/>
    <col min="7171" max="7171" width="11.7109375" style="81" customWidth="1"/>
    <col min="7172" max="7172" width="13.5703125" style="81" customWidth="1"/>
    <col min="7173" max="7173" width="13.42578125" style="81" customWidth="1"/>
    <col min="7174" max="7174" width="10.28515625" style="81" customWidth="1"/>
    <col min="7175" max="7175" width="11.28515625" style="81" customWidth="1"/>
    <col min="7176" max="7176" width="10.7109375" style="81" customWidth="1"/>
    <col min="7177" max="7177" width="11.28515625" style="81" bestFit="1" customWidth="1"/>
    <col min="7178" max="7178" width="11.42578125" style="81" customWidth="1"/>
    <col min="7179" max="7179" width="11.28515625" style="81" customWidth="1"/>
    <col min="7180" max="7180" width="12.5703125" style="81" bestFit="1" customWidth="1"/>
    <col min="7181" max="7424" width="9.140625" style="81"/>
    <col min="7425" max="7425" width="9.140625" style="81" customWidth="1"/>
    <col min="7426" max="7426" width="15.7109375" style="81" customWidth="1"/>
    <col min="7427" max="7427" width="11.7109375" style="81" customWidth="1"/>
    <col min="7428" max="7428" width="13.5703125" style="81" customWidth="1"/>
    <col min="7429" max="7429" width="13.42578125" style="81" customWidth="1"/>
    <col min="7430" max="7430" width="10.28515625" style="81" customWidth="1"/>
    <col min="7431" max="7431" width="11.28515625" style="81" customWidth="1"/>
    <col min="7432" max="7432" width="10.7109375" style="81" customWidth="1"/>
    <col min="7433" max="7433" width="11.28515625" style="81" bestFit="1" customWidth="1"/>
    <col min="7434" max="7434" width="11.42578125" style="81" customWidth="1"/>
    <col min="7435" max="7435" width="11.28515625" style="81" customWidth="1"/>
    <col min="7436" max="7436" width="12.5703125" style="81" bestFit="1" customWidth="1"/>
    <col min="7437" max="7680" width="9.140625" style="81"/>
    <col min="7681" max="7681" width="9.140625" style="81" customWidth="1"/>
    <col min="7682" max="7682" width="15.7109375" style="81" customWidth="1"/>
    <col min="7683" max="7683" width="11.7109375" style="81" customWidth="1"/>
    <col min="7684" max="7684" width="13.5703125" style="81" customWidth="1"/>
    <col min="7685" max="7685" width="13.42578125" style="81" customWidth="1"/>
    <col min="7686" max="7686" width="10.28515625" style="81" customWidth="1"/>
    <col min="7687" max="7687" width="11.28515625" style="81" customWidth="1"/>
    <col min="7688" max="7688" width="10.7109375" style="81" customWidth="1"/>
    <col min="7689" max="7689" width="11.28515625" style="81" bestFit="1" customWidth="1"/>
    <col min="7690" max="7690" width="11.42578125" style="81" customWidth="1"/>
    <col min="7691" max="7691" width="11.28515625" style="81" customWidth="1"/>
    <col min="7692" max="7692" width="12.5703125" style="81" bestFit="1" customWidth="1"/>
    <col min="7693" max="7936" width="9.140625" style="81"/>
    <col min="7937" max="7937" width="9.140625" style="81" customWidth="1"/>
    <col min="7938" max="7938" width="15.7109375" style="81" customWidth="1"/>
    <col min="7939" max="7939" width="11.7109375" style="81" customWidth="1"/>
    <col min="7940" max="7940" width="13.5703125" style="81" customWidth="1"/>
    <col min="7941" max="7941" width="13.42578125" style="81" customWidth="1"/>
    <col min="7942" max="7942" width="10.28515625" style="81" customWidth="1"/>
    <col min="7943" max="7943" width="11.28515625" style="81" customWidth="1"/>
    <col min="7944" max="7944" width="10.7109375" style="81" customWidth="1"/>
    <col min="7945" max="7945" width="11.28515625" style="81" bestFit="1" customWidth="1"/>
    <col min="7946" max="7946" width="11.42578125" style="81" customWidth="1"/>
    <col min="7947" max="7947" width="11.28515625" style="81" customWidth="1"/>
    <col min="7948" max="7948" width="12.5703125" style="81" bestFit="1" customWidth="1"/>
    <col min="7949" max="8192" width="9.140625" style="81"/>
    <col min="8193" max="8193" width="9.140625" style="81" customWidth="1"/>
    <col min="8194" max="8194" width="15.7109375" style="81" customWidth="1"/>
    <col min="8195" max="8195" width="11.7109375" style="81" customWidth="1"/>
    <col min="8196" max="8196" width="13.5703125" style="81" customWidth="1"/>
    <col min="8197" max="8197" width="13.42578125" style="81" customWidth="1"/>
    <col min="8198" max="8198" width="10.28515625" style="81" customWidth="1"/>
    <col min="8199" max="8199" width="11.28515625" style="81" customWidth="1"/>
    <col min="8200" max="8200" width="10.7109375" style="81" customWidth="1"/>
    <col min="8201" max="8201" width="11.28515625" style="81" bestFit="1" customWidth="1"/>
    <col min="8202" max="8202" width="11.42578125" style="81" customWidth="1"/>
    <col min="8203" max="8203" width="11.28515625" style="81" customWidth="1"/>
    <col min="8204" max="8204" width="12.5703125" style="81" bestFit="1" customWidth="1"/>
    <col min="8205" max="8448" width="9.140625" style="81"/>
    <col min="8449" max="8449" width="9.140625" style="81" customWidth="1"/>
    <col min="8450" max="8450" width="15.7109375" style="81" customWidth="1"/>
    <col min="8451" max="8451" width="11.7109375" style="81" customWidth="1"/>
    <col min="8452" max="8452" width="13.5703125" style="81" customWidth="1"/>
    <col min="8453" max="8453" width="13.42578125" style="81" customWidth="1"/>
    <col min="8454" max="8454" width="10.28515625" style="81" customWidth="1"/>
    <col min="8455" max="8455" width="11.28515625" style="81" customWidth="1"/>
    <col min="8456" max="8456" width="10.7109375" style="81" customWidth="1"/>
    <col min="8457" max="8457" width="11.28515625" style="81" bestFit="1" customWidth="1"/>
    <col min="8458" max="8458" width="11.42578125" style="81" customWidth="1"/>
    <col min="8459" max="8459" width="11.28515625" style="81" customWidth="1"/>
    <col min="8460" max="8460" width="12.5703125" style="81" bestFit="1" customWidth="1"/>
    <col min="8461" max="8704" width="9.140625" style="81"/>
    <col min="8705" max="8705" width="9.140625" style="81" customWidth="1"/>
    <col min="8706" max="8706" width="15.7109375" style="81" customWidth="1"/>
    <col min="8707" max="8707" width="11.7109375" style="81" customWidth="1"/>
    <col min="8708" max="8708" width="13.5703125" style="81" customWidth="1"/>
    <col min="8709" max="8709" width="13.42578125" style="81" customWidth="1"/>
    <col min="8710" max="8710" width="10.28515625" style="81" customWidth="1"/>
    <col min="8711" max="8711" width="11.28515625" style="81" customWidth="1"/>
    <col min="8712" max="8712" width="10.7109375" style="81" customWidth="1"/>
    <col min="8713" max="8713" width="11.28515625" style="81" bestFit="1" customWidth="1"/>
    <col min="8714" max="8714" width="11.42578125" style="81" customWidth="1"/>
    <col min="8715" max="8715" width="11.28515625" style="81" customWidth="1"/>
    <col min="8716" max="8716" width="12.5703125" style="81" bestFit="1" customWidth="1"/>
    <col min="8717" max="8960" width="9.140625" style="81"/>
    <col min="8961" max="8961" width="9.140625" style="81" customWidth="1"/>
    <col min="8962" max="8962" width="15.7109375" style="81" customWidth="1"/>
    <col min="8963" max="8963" width="11.7109375" style="81" customWidth="1"/>
    <col min="8964" max="8964" width="13.5703125" style="81" customWidth="1"/>
    <col min="8965" max="8965" width="13.42578125" style="81" customWidth="1"/>
    <col min="8966" max="8966" width="10.28515625" style="81" customWidth="1"/>
    <col min="8967" max="8967" width="11.28515625" style="81" customWidth="1"/>
    <col min="8968" max="8968" width="10.7109375" style="81" customWidth="1"/>
    <col min="8969" max="8969" width="11.28515625" style="81" bestFit="1" customWidth="1"/>
    <col min="8970" max="8970" width="11.42578125" style="81" customWidth="1"/>
    <col min="8971" max="8971" width="11.28515625" style="81" customWidth="1"/>
    <col min="8972" max="8972" width="12.5703125" style="81" bestFit="1" customWidth="1"/>
    <col min="8973" max="9216" width="9.140625" style="81"/>
    <col min="9217" max="9217" width="9.140625" style="81" customWidth="1"/>
    <col min="9218" max="9218" width="15.7109375" style="81" customWidth="1"/>
    <col min="9219" max="9219" width="11.7109375" style="81" customWidth="1"/>
    <col min="9220" max="9220" width="13.5703125" style="81" customWidth="1"/>
    <col min="9221" max="9221" width="13.42578125" style="81" customWidth="1"/>
    <col min="9222" max="9222" width="10.28515625" style="81" customWidth="1"/>
    <col min="9223" max="9223" width="11.28515625" style="81" customWidth="1"/>
    <col min="9224" max="9224" width="10.7109375" style="81" customWidth="1"/>
    <col min="9225" max="9225" width="11.28515625" style="81" bestFit="1" customWidth="1"/>
    <col min="9226" max="9226" width="11.42578125" style="81" customWidth="1"/>
    <col min="9227" max="9227" width="11.28515625" style="81" customWidth="1"/>
    <col min="9228" max="9228" width="12.5703125" style="81" bestFit="1" customWidth="1"/>
    <col min="9229" max="9472" width="9.140625" style="81"/>
    <col min="9473" max="9473" width="9.140625" style="81" customWidth="1"/>
    <col min="9474" max="9474" width="15.7109375" style="81" customWidth="1"/>
    <col min="9475" max="9475" width="11.7109375" style="81" customWidth="1"/>
    <col min="9476" max="9476" width="13.5703125" style="81" customWidth="1"/>
    <col min="9477" max="9477" width="13.42578125" style="81" customWidth="1"/>
    <col min="9478" max="9478" width="10.28515625" style="81" customWidth="1"/>
    <col min="9479" max="9479" width="11.28515625" style="81" customWidth="1"/>
    <col min="9480" max="9480" width="10.7109375" style="81" customWidth="1"/>
    <col min="9481" max="9481" width="11.28515625" style="81" bestFit="1" customWidth="1"/>
    <col min="9482" max="9482" width="11.42578125" style="81" customWidth="1"/>
    <col min="9483" max="9483" width="11.28515625" style="81" customWidth="1"/>
    <col min="9484" max="9484" width="12.5703125" style="81" bestFit="1" customWidth="1"/>
    <col min="9485" max="9728" width="9.140625" style="81"/>
    <col min="9729" max="9729" width="9.140625" style="81" customWidth="1"/>
    <col min="9730" max="9730" width="15.7109375" style="81" customWidth="1"/>
    <col min="9731" max="9731" width="11.7109375" style="81" customWidth="1"/>
    <col min="9732" max="9732" width="13.5703125" style="81" customWidth="1"/>
    <col min="9733" max="9733" width="13.42578125" style="81" customWidth="1"/>
    <col min="9734" max="9734" width="10.28515625" style="81" customWidth="1"/>
    <col min="9735" max="9735" width="11.28515625" style="81" customWidth="1"/>
    <col min="9736" max="9736" width="10.7109375" style="81" customWidth="1"/>
    <col min="9737" max="9737" width="11.28515625" style="81" bestFit="1" customWidth="1"/>
    <col min="9738" max="9738" width="11.42578125" style="81" customWidth="1"/>
    <col min="9739" max="9739" width="11.28515625" style="81" customWidth="1"/>
    <col min="9740" max="9740" width="12.5703125" style="81" bestFit="1" customWidth="1"/>
    <col min="9741" max="9984" width="9.140625" style="81"/>
    <col min="9985" max="9985" width="9.140625" style="81" customWidth="1"/>
    <col min="9986" max="9986" width="15.7109375" style="81" customWidth="1"/>
    <col min="9987" max="9987" width="11.7109375" style="81" customWidth="1"/>
    <col min="9988" max="9988" width="13.5703125" style="81" customWidth="1"/>
    <col min="9989" max="9989" width="13.42578125" style="81" customWidth="1"/>
    <col min="9990" max="9990" width="10.28515625" style="81" customWidth="1"/>
    <col min="9991" max="9991" width="11.28515625" style="81" customWidth="1"/>
    <col min="9992" max="9992" width="10.7109375" style="81" customWidth="1"/>
    <col min="9993" max="9993" width="11.28515625" style="81" bestFit="1" customWidth="1"/>
    <col min="9994" max="9994" width="11.42578125" style="81" customWidth="1"/>
    <col min="9995" max="9995" width="11.28515625" style="81" customWidth="1"/>
    <col min="9996" max="9996" width="12.5703125" style="81" bestFit="1" customWidth="1"/>
    <col min="9997" max="10240" width="9.140625" style="81"/>
    <col min="10241" max="10241" width="9.140625" style="81" customWidth="1"/>
    <col min="10242" max="10242" width="15.7109375" style="81" customWidth="1"/>
    <col min="10243" max="10243" width="11.7109375" style="81" customWidth="1"/>
    <col min="10244" max="10244" width="13.5703125" style="81" customWidth="1"/>
    <col min="10245" max="10245" width="13.42578125" style="81" customWidth="1"/>
    <col min="10246" max="10246" width="10.28515625" style="81" customWidth="1"/>
    <col min="10247" max="10247" width="11.28515625" style="81" customWidth="1"/>
    <col min="10248" max="10248" width="10.7109375" style="81" customWidth="1"/>
    <col min="10249" max="10249" width="11.28515625" style="81" bestFit="1" customWidth="1"/>
    <col min="10250" max="10250" width="11.42578125" style="81" customWidth="1"/>
    <col min="10251" max="10251" width="11.28515625" style="81" customWidth="1"/>
    <col min="10252" max="10252" width="12.5703125" style="81" bestFit="1" customWidth="1"/>
    <col min="10253" max="10496" width="9.140625" style="81"/>
    <col min="10497" max="10497" width="9.140625" style="81" customWidth="1"/>
    <col min="10498" max="10498" width="15.7109375" style="81" customWidth="1"/>
    <col min="10499" max="10499" width="11.7109375" style="81" customWidth="1"/>
    <col min="10500" max="10500" width="13.5703125" style="81" customWidth="1"/>
    <col min="10501" max="10501" width="13.42578125" style="81" customWidth="1"/>
    <col min="10502" max="10502" width="10.28515625" style="81" customWidth="1"/>
    <col min="10503" max="10503" width="11.28515625" style="81" customWidth="1"/>
    <col min="10504" max="10504" width="10.7109375" style="81" customWidth="1"/>
    <col min="10505" max="10505" width="11.28515625" style="81" bestFit="1" customWidth="1"/>
    <col min="10506" max="10506" width="11.42578125" style="81" customWidth="1"/>
    <col min="10507" max="10507" width="11.28515625" style="81" customWidth="1"/>
    <col min="10508" max="10508" width="12.5703125" style="81" bestFit="1" customWidth="1"/>
    <col min="10509" max="10752" width="9.140625" style="81"/>
    <col min="10753" max="10753" width="9.140625" style="81" customWidth="1"/>
    <col min="10754" max="10754" width="15.7109375" style="81" customWidth="1"/>
    <col min="10755" max="10755" width="11.7109375" style="81" customWidth="1"/>
    <col min="10756" max="10756" width="13.5703125" style="81" customWidth="1"/>
    <col min="10757" max="10757" width="13.42578125" style="81" customWidth="1"/>
    <col min="10758" max="10758" width="10.28515625" style="81" customWidth="1"/>
    <col min="10759" max="10759" width="11.28515625" style="81" customWidth="1"/>
    <col min="10760" max="10760" width="10.7109375" style="81" customWidth="1"/>
    <col min="10761" max="10761" width="11.28515625" style="81" bestFit="1" customWidth="1"/>
    <col min="10762" max="10762" width="11.42578125" style="81" customWidth="1"/>
    <col min="10763" max="10763" width="11.28515625" style="81" customWidth="1"/>
    <col min="10764" max="10764" width="12.5703125" style="81" bestFit="1" customWidth="1"/>
    <col min="10765" max="11008" width="9.140625" style="81"/>
    <col min="11009" max="11009" width="9.140625" style="81" customWidth="1"/>
    <col min="11010" max="11010" width="15.7109375" style="81" customWidth="1"/>
    <col min="11011" max="11011" width="11.7109375" style="81" customWidth="1"/>
    <col min="11012" max="11012" width="13.5703125" style="81" customWidth="1"/>
    <col min="11013" max="11013" width="13.42578125" style="81" customWidth="1"/>
    <col min="11014" max="11014" width="10.28515625" style="81" customWidth="1"/>
    <col min="11015" max="11015" width="11.28515625" style="81" customWidth="1"/>
    <col min="11016" max="11016" width="10.7109375" style="81" customWidth="1"/>
    <col min="11017" max="11017" width="11.28515625" style="81" bestFit="1" customWidth="1"/>
    <col min="11018" max="11018" width="11.42578125" style="81" customWidth="1"/>
    <col min="11019" max="11019" width="11.28515625" style="81" customWidth="1"/>
    <col min="11020" max="11020" width="12.5703125" style="81" bestFit="1" customWidth="1"/>
    <col min="11021" max="11264" width="9.140625" style="81"/>
    <col min="11265" max="11265" width="9.140625" style="81" customWidth="1"/>
    <col min="11266" max="11266" width="15.7109375" style="81" customWidth="1"/>
    <col min="11267" max="11267" width="11.7109375" style="81" customWidth="1"/>
    <col min="11268" max="11268" width="13.5703125" style="81" customWidth="1"/>
    <col min="11269" max="11269" width="13.42578125" style="81" customWidth="1"/>
    <col min="11270" max="11270" width="10.28515625" style="81" customWidth="1"/>
    <col min="11271" max="11271" width="11.28515625" style="81" customWidth="1"/>
    <col min="11272" max="11272" width="10.7109375" style="81" customWidth="1"/>
    <col min="11273" max="11273" width="11.28515625" style="81" bestFit="1" customWidth="1"/>
    <col min="11274" max="11274" width="11.42578125" style="81" customWidth="1"/>
    <col min="11275" max="11275" width="11.28515625" style="81" customWidth="1"/>
    <col min="11276" max="11276" width="12.5703125" style="81" bestFit="1" customWidth="1"/>
    <col min="11277" max="11520" width="9.140625" style="81"/>
    <col min="11521" max="11521" width="9.140625" style="81" customWidth="1"/>
    <col min="11522" max="11522" width="15.7109375" style="81" customWidth="1"/>
    <col min="11523" max="11523" width="11.7109375" style="81" customWidth="1"/>
    <col min="11524" max="11524" width="13.5703125" style="81" customWidth="1"/>
    <col min="11525" max="11525" width="13.42578125" style="81" customWidth="1"/>
    <col min="11526" max="11526" width="10.28515625" style="81" customWidth="1"/>
    <col min="11527" max="11527" width="11.28515625" style="81" customWidth="1"/>
    <col min="11528" max="11528" width="10.7109375" style="81" customWidth="1"/>
    <col min="11529" max="11529" width="11.28515625" style="81" bestFit="1" customWidth="1"/>
    <col min="11530" max="11530" width="11.42578125" style="81" customWidth="1"/>
    <col min="11531" max="11531" width="11.28515625" style="81" customWidth="1"/>
    <col min="11532" max="11532" width="12.5703125" style="81" bestFit="1" customWidth="1"/>
    <col min="11533" max="11776" width="9.140625" style="81"/>
    <col min="11777" max="11777" width="9.140625" style="81" customWidth="1"/>
    <col min="11778" max="11778" width="15.7109375" style="81" customWidth="1"/>
    <col min="11779" max="11779" width="11.7109375" style="81" customWidth="1"/>
    <col min="11780" max="11780" width="13.5703125" style="81" customWidth="1"/>
    <col min="11781" max="11781" width="13.42578125" style="81" customWidth="1"/>
    <col min="11782" max="11782" width="10.28515625" style="81" customWidth="1"/>
    <col min="11783" max="11783" width="11.28515625" style="81" customWidth="1"/>
    <col min="11784" max="11784" width="10.7109375" style="81" customWidth="1"/>
    <col min="11785" max="11785" width="11.28515625" style="81" bestFit="1" customWidth="1"/>
    <col min="11786" max="11786" width="11.42578125" style="81" customWidth="1"/>
    <col min="11787" max="11787" width="11.28515625" style="81" customWidth="1"/>
    <col min="11788" max="11788" width="12.5703125" style="81" bestFit="1" customWidth="1"/>
    <col min="11789" max="12032" width="9.140625" style="81"/>
    <col min="12033" max="12033" width="9.140625" style="81" customWidth="1"/>
    <col min="12034" max="12034" width="15.7109375" style="81" customWidth="1"/>
    <col min="12035" max="12035" width="11.7109375" style="81" customWidth="1"/>
    <col min="12036" max="12036" width="13.5703125" style="81" customWidth="1"/>
    <col min="12037" max="12037" width="13.42578125" style="81" customWidth="1"/>
    <col min="12038" max="12038" width="10.28515625" style="81" customWidth="1"/>
    <col min="12039" max="12039" width="11.28515625" style="81" customWidth="1"/>
    <col min="12040" max="12040" width="10.7109375" style="81" customWidth="1"/>
    <col min="12041" max="12041" width="11.28515625" style="81" bestFit="1" customWidth="1"/>
    <col min="12042" max="12042" width="11.42578125" style="81" customWidth="1"/>
    <col min="12043" max="12043" width="11.28515625" style="81" customWidth="1"/>
    <col min="12044" max="12044" width="12.5703125" style="81" bestFit="1" customWidth="1"/>
    <col min="12045" max="12288" width="9.140625" style="81"/>
    <col min="12289" max="12289" width="9.140625" style="81" customWidth="1"/>
    <col min="12290" max="12290" width="15.7109375" style="81" customWidth="1"/>
    <col min="12291" max="12291" width="11.7109375" style="81" customWidth="1"/>
    <col min="12292" max="12292" width="13.5703125" style="81" customWidth="1"/>
    <col min="12293" max="12293" width="13.42578125" style="81" customWidth="1"/>
    <col min="12294" max="12294" width="10.28515625" style="81" customWidth="1"/>
    <col min="12295" max="12295" width="11.28515625" style="81" customWidth="1"/>
    <col min="12296" max="12296" width="10.7109375" style="81" customWidth="1"/>
    <col min="12297" max="12297" width="11.28515625" style="81" bestFit="1" customWidth="1"/>
    <col min="12298" max="12298" width="11.42578125" style="81" customWidth="1"/>
    <col min="12299" max="12299" width="11.28515625" style="81" customWidth="1"/>
    <col min="12300" max="12300" width="12.5703125" style="81" bestFit="1" customWidth="1"/>
    <col min="12301" max="12544" width="9.140625" style="81"/>
    <col min="12545" max="12545" width="9.140625" style="81" customWidth="1"/>
    <col min="12546" max="12546" width="15.7109375" style="81" customWidth="1"/>
    <col min="12547" max="12547" width="11.7109375" style="81" customWidth="1"/>
    <col min="12548" max="12548" width="13.5703125" style="81" customWidth="1"/>
    <col min="12549" max="12549" width="13.42578125" style="81" customWidth="1"/>
    <col min="12550" max="12550" width="10.28515625" style="81" customWidth="1"/>
    <col min="12551" max="12551" width="11.28515625" style="81" customWidth="1"/>
    <col min="12552" max="12552" width="10.7109375" style="81" customWidth="1"/>
    <col min="12553" max="12553" width="11.28515625" style="81" bestFit="1" customWidth="1"/>
    <col min="12554" max="12554" width="11.42578125" style="81" customWidth="1"/>
    <col min="12555" max="12555" width="11.28515625" style="81" customWidth="1"/>
    <col min="12556" max="12556" width="12.5703125" style="81" bestFit="1" customWidth="1"/>
    <col min="12557" max="12800" width="9.140625" style="81"/>
    <col min="12801" max="12801" width="9.140625" style="81" customWidth="1"/>
    <col min="12802" max="12802" width="15.7109375" style="81" customWidth="1"/>
    <col min="12803" max="12803" width="11.7109375" style="81" customWidth="1"/>
    <col min="12804" max="12804" width="13.5703125" style="81" customWidth="1"/>
    <col min="12805" max="12805" width="13.42578125" style="81" customWidth="1"/>
    <col min="12806" max="12806" width="10.28515625" style="81" customWidth="1"/>
    <col min="12807" max="12807" width="11.28515625" style="81" customWidth="1"/>
    <col min="12808" max="12808" width="10.7109375" style="81" customWidth="1"/>
    <col min="12809" max="12809" width="11.28515625" style="81" bestFit="1" customWidth="1"/>
    <col min="12810" max="12810" width="11.42578125" style="81" customWidth="1"/>
    <col min="12811" max="12811" width="11.28515625" style="81" customWidth="1"/>
    <col min="12812" max="12812" width="12.5703125" style="81" bestFit="1" customWidth="1"/>
    <col min="12813" max="13056" width="9.140625" style="81"/>
    <col min="13057" max="13057" width="9.140625" style="81" customWidth="1"/>
    <col min="13058" max="13058" width="15.7109375" style="81" customWidth="1"/>
    <col min="13059" max="13059" width="11.7109375" style="81" customWidth="1"/>
    <col min="13060" max="13060" width="13.5703125" style="81" customWidth="1"/>
    <col min="13061" max="13061" width="13.42578125" style="81" customWidth="1"/>
    <col min="13062" max="13062" width="10.28515625" style="81" customWidth="1"/>
    <col min="13063" max="13063" width="11.28515625" style="81" customWidth="1"/>
    <col min="13064" max="13064" width="10.7109375" style="81" customWidth="1"/>
    <col min="13065" max="13065" width="11.28515625" style="81" bestFit="1" customWidth="1"/>
    <col min="13066" max="13066" width="11.42578125" style="81" customWidth="1"/>
    <col min="13067" max="13067" width="11.28515625" style="81" customWidth="1"/>
    <col min="13068" max="13068" width="12.5703125" style="81" bestFit="1" customWidth="1"/>
    <col min="13069" max="13312" width="9.140625" style="81"/>
    <col min="13313" max="13313" width="9.140625" style="81" customWidth="1"/>
    <col min="13314" max="13314" width="15.7109375" style="81" customWidth="1"/>
    <col min="13315" max="13315" width="11.7109375" style="81" customWidth="1"/>
    <col min="13316" max="13316" width="13.5703125" style="81" customWidth="1"/>
    <col min="13317" max="13317" width="13.42578125" style="81" customWidth="1"/>
    <col min="13318" max="13318" width="10.28515625" style="81" customWidth="1"/>
    <col min="13319" max="13319" width="11.28515625" style="81" customWidth="1"/>
    <col min="13320" max="13320" width="10.7109375" style="81" customWidth="1"/>
    <col min="13321" max="13321" width="11.28515625" style="81" bestFit="1" customWidth="1"/>
    <col min="13322" max="13322" width="11.42578125" style="81" customWidth="1"/>
    <col min="13323" max="13323" width="11.28515625" style="81" customWidth="1"/>
    <col min="13324" max="13324" width="12.5703125" style="81" bestFit="1" customWidth="1"/>
    <col min="13325" max="13568" width="9.140625" style="81"/>
    <col min="13569" max="13569" width="9.140625" style="81" customWidth="1"/>
    <col min="13570" max="13570" width="15.7109375" style="81" customWidth="1"/>
    <col min="13571" max="13571" width="11.7109375" style="81" customWidth="1"/>
    <col min="13572" max="13572" width="13.5703125" style="81" customWidth="1"/>
    <col min="13573" max="13573" width="13.42578125" style="81" customWidth="1"/>
    <col min="13574" max="13574" width="10.28515625" style="81" customWidth="1"/>
    <col min="13575" max="13575" width="11.28515625" style="81" customWidth="1"/>
    <col min="13576" max="13576" width="10.7109375" style="81" customWidth="1"/>
    <col min="13577" max="13577" width="11.28515625" style="81" bestFit="1" customWidth="1"/>
    <col min="13578" max="13578" width="11.42578125" style="81" customWidth="1"/>
    <col min="13579" max="13579" width="11.28515625" style="81" customWidth="1"/>
    <col min="13580" max="13580" width="12.5703125" style="81" bestFit="1" customWidth="1"/>
    <col min="13581" max="13824" width="9.140625" style="81"/>
    <col min="13825" max="13825" width="9.140625" style="81" customWidth="1"/>
    <col min="13826" max="13826" width="15.7109375" style="81" customWidth="1"/>
    <col min="13827" max="13827" width="11.7109375" style="81" customWidth="1"/>
    <col min="13828" max="13828" width="13.5703125" style="81" customWidth="1"/>
    <col min="13829" max="13829" width="13.42578125" style="81" customWidth="1"/>
    <col min="13830" max="13830" width="10.28515625" style="81" customWidth="1"/>
    <col min="13831" max="13831" width="11.28515625" style="81" customWidth="1"/>
    <col min="13832" max="13832" width="10.7109375" style="81" customWidth="1"/>
    <col min="13833" max="13833" width="11.28515625" style="81" bestFit="1" customWidth="1"/>
    <col min="13834" max="13834" width="11.42578125" style="81" customWidth="1"/>
    <col min="13835" max="13835" width="11.28515625" style="81" customWidth="1"/>
    <col min="13836" max="13836" width="12.5703125" style="81" bestFit="1" customWidth="1"/>
    <col min="13837" max="14080" width="9.140625" style="81"/>
    <col min="14081" max="14081" width="9.140625" style="81" customWidth="1"/>
    <col min="14082" max="14082" width="15.7109375" style="81" customWidth="1"/>
    <col min="14083" max="14083" width="11.7109375" style="81" customWidth="1"/>
    <col min="14084" max="14084" width="13.5703125" style="81" customWidth="1"/>
    <col min="14085" max="14085" width="13.42578125" style="81" customWidth="1"/>
    <col min="14086" max="14086" width="10.28515625" style="81" customWidth="1"/>
    <col min="14087" max="14087" width="11.28515625" style="81" customWidth="1"/>
    <col min="14088" max="14088" width="10.7109375" style="81" customWidth="1"/>
    <col min="14089" max="14089" width="11.28515625" style="81" bestFit="1" customWidth="1"/>
    <col min="14090" max="14090" width="11.42578125" style="81" customWidth="1"/>
    <col min="14091" max="14091" width="11.28515625" style="81" customWidth="1"/>
    <col min="14092" max="14092" width="12.5703125" style="81" bestFit="1" customWidth="1"/>
    <col min="14093" max="14336" width="9.140625" style="81"/>
    <col min="14337" max="14337" width="9.140625" style="81" customWidth="1"/>
    <col min="14338" max="14338" width="15.7109375" style="81" customWidth="1"/>
    <col min="14339" max="14339" width="11.7109375" style="81" customWidth="1"/>
    <col min="14340" max="14340" width="13.5703125" style="81" customWidth="1"/>
    <col min="14341" max="14341" width="13.42578125" style="81" customWidth="1"/>
    <col min="14342" max="14342" width="10.28515625" style="81" customWidth="1"/>
    <col min="14343" max="14343" width="11.28515625" style="81" customWidth="1"/>
    <col min="14344" max="14344" width="10.7109375" style="81" customWidth="1"/>
    <col min="14345" max="14345" width="11.28515625" style="81" bestFit="1" customWidth="1"/>
    <col min="14346" max="14346" width="11.42578125" style="81" customWidth="1"/>
    <col min="14347" max="14347" width="11.28515625" style="81" customWidth="1"/>
    <col min="14348" max="14348" width="12.5703125" style="81" bestFit="1" customWidth="1"/>
    <col min="14349" max="14592" width="9.140625" style="81"/>
    <col min="14593" max="14593" width="9.140625" style="81" customWidth="1"/>
    <col min="14594" max="14594" width="15.7109375" style="81" customWidth="1"/>
    <col min="14595" max="14595" width="11.7109375" style="81" customWidth="1"/>
    <col min="14596" max="14596" width="13.5703125" style="81" customWidth="1"/>
    <col min="14597" max="14597" width="13.42578125" style="81" customWidth="1"/>
    <col min="14598" max="14598" width="10.28515625" style="81" customWidth="1"/>
    <col min="14599" max="14599" width="11.28515625" style="81" customWidth="1"/>
    <col min="14600" max="14600" width="10.7109375" style="81" customWidth="1"/>
    <col min="14601" max="14601" width="11.28515625" style="81" bestFit="1" customWidth="1"/>
    <col min="14602" max="14602" width="11.42578125" style="81" customWidth="1"/>
    <col min="14603" max="14603" width="11.28515625" style="81" customWidth="1"/>
    <col min="14604" max="14604" width="12.5703125" style="81" bestFit="1" customWidth="1"/>
    <col min="14605" max="14848" width="9.140625" style="81"/>
    <col min="14849" max="14849" width="9.140625" style="81" customWidth="1"/>
    <col min="14850" max="14850" width="15.7109375" style="81" customWidth="1"/>
    <col min="14851" max="14851" width="11.7109375" style="81" customWidth="1"/>
    <col min="14852" max="14852" width="13.5703125" style="81" customWidth="1"/>
    <col min="14853" max="14853" width="13.42578125" style="81" customWidth="1"/>
    <col min="14854" max="14854" width="10.28515625" style="81" customWidth="1"/>
    <col min="14855" max="14855" width="11.28515625" style="81" customWidth="1"/>
    <col min="14856" max="14856" width="10.7109375" style="81" customWidth="1"/>
    <col min="14857" max="14857" width="11.28515625" style="81" bestFit="1" customWidth="1"/>
    <col min="14858" max="14858" width="11.42578125" style="81" customWidth="1"/>
    <col min="14859" max="14859" width="11.28515625" style="81" customWidth="1"/>
    <col min="14860" max="14860" width="12.5703125" style="81" bestFit="1" customWidth="1"/>
    <col min="14861" max="15104" width="9.140625" style="81"/>
    <col min="15105" max="15105" width="9.140625" style="81" customWidth="1"/>
    <col min="15106" max="15106" width="15.7109375" style="81" customWidth="1"/>
    <col min="15107" max="15107" width="11.7109375" style="81" customWidth="1"/>
    <col min="15108" max="15108" width="13.5703125" style="81" customWidth="1"/>
    <col min="15109" max="15109" width="13.42578125" style="81" customWidth="1"/>
    <col min="15110" max="15110" width="10.28515625" style="81" customWidth="1"/>
    <col min="15111" max="15111" width="11.28515625" style="81" customWidth="1"/>
    <col min="15112" max="15112" width="10.7109375" style="81" customWidth="1"/>
    <col min="15113" max="15113" width="11.28515625" style="81" bestFit="1" customWidth="1"/>
    <col min="15114" max="15114" width="11.42578125" style="81" customWidth="1"/>
    <col min="15115" max="15115" width="11.28515625" style="81" customWidth="1"/>
    <col min="15116" max="15116" width="12.5703125" style="81" bestFit="1" customWidth="1"/>
    <col min="15117" max="15360" width="9.140625" style="81"/>
    <col min="15361" max="15361" width="9.140625" style="81" customWidth="1"/>
    <col min="15362" max="15362" width="15.7109375" style="81" customWidth="1"/>
    <col min="15363" max="15363" width="11.7109375" style="81" customWidth="1"/>
    <col min="15364" max="15364" width="13.5703125" style="81" customWidth="1"/>
    <col min="15365" max="15365" width="13.42578125" style="81" customWidth="1"/>
    <col min="15366" max="15366" width="10.28515625" style="81" customWidth="1"/>
    <col min="15367" max="15367" width="11.28515625" style="81" customWidth="1"/>
    <col min="15368" max="15368" width="10.7109375" style="81" customWidth="1"/>
    <col min="15369" max="15369" width="11.28515625" style="81" bestFit="1" customWidth="1"/>
    <col min="15370" max="15370" width="11.42578125" style="81" customWidth="1"/>
    <col min="15371" max="15371" width="11.28515625" style="81" customWidth="1"/>
    <col min="15372" max="15372" width="12.5703125" style="81" bestFit="1" customWidth="1"/>
    <col min="15373" max="15616" width="9.140625" style="81"/>
    <col min="15617" max="15617" width="9.140625" style="81" customWidth="1"/>
    <col min="15618" max="15618" width="15.7109375" style="81" customWidth="1"/>
    <col min="15619" max="15619" width="11.7109375" style="81" customWidth="1"/>
    <col min="15620" max="15620" width="13.5703125" style="81" customWidth="1"/>
    <col min="15621" max="15621" width="13.42578125" style="81" customWidth="1"/>
    <col min="15622" max="15622" width="10.28515625" style="81" customWidth="1"/>
    <col min="15623" max="15623" width="11.28515625" style="81" customWidth="1"/>
    <col min="15624" max="15624" width="10.7109375" style="81" customWidth="1"/>
    <col min="15625" max="15625" width="11.28515625" style="81" bestFit="1" customWidth="1"/>
    <col min="15626" max="15626" width="11.42578125" style="81" customWidth="1"/>
    <col min="15627" max="15627" width="11.28515625" style="81" customWidth="1"/>
    <col min="15628" max="15628" width="12.5703125" style="81" bestFit="1" customWidth="1"/>
    <col min="15629" max="15872" width="9.140625" style="81"/>
    <col min="15873" max="15873" width="9.140625" style="81" customWidth="1"/>
    <col min="15874" max="15874" width="15.7109375" style="81" customWidth="1"/>
    <col min="15875" max="15875" width="11.7109375" style="81" customWidth="1"/>
    <col min="15876" max="15876" width="13.5703125" style="81" customWidth="1"/>
    <col min="15877" max="15877" width="13.42578125" style="81" customWidth="1"/>
    <col min="15878" max="15878" width="10.28515625" style="81" customWidth="1"/>
    <col min="15879" max="15879" width="11.28515625" style="81" customWidth="1"/>
    <col min="15880" max="15880" width="10.7109375" style="81" customWidth="1"/>
    <col min="15881" max="15881" width="11.28515625" style="81" bestFit="1" customWidth="1"/>
    <col min="15882" max="15882" width="11.42578125" style="81" customWidth="1"/>
    <col min="15883" max="15883" width="11.28515625" style="81" customWidth="1"/>
    <col min="15884" max="15884" width="12.5703125" style="81" bestFit="1" customWidth="1"/>
    <col min="15885" max="16128" width="9.140625" style="81"/>
    <col min="16129" max="16129" width="9.140625" style="81" customWidth="1"/>
    <col min="16130" max="16130" width="15.7109375" style="81" customWidth="1"/>
    <col min="16131" max="16131" width="11.7109375" style="81" customWidth="1"/>
    <col min="16132" max="16132" width="13.5703125" style="81" customWidth="1"/>
    <col min="16133" max="16133" width="13.42578125" style="81" customWidth="1"/>
    <col min="16134" max="16134" width="10.28515625" style="81" customWidth="1"/>
    <col min="16135" max="16135" width="11.28515625" style="81" customWidth="1"/>
    <col min="16136" max="16136" width="10.7109375" style="81" customWidth="1"/>
    <col min="16137" max="16137" width="11.28515625" style="81" bestFit="1" customWidth="1"/>
    <col min="16138" max="16138" width="11.42578125" style="81" customWidth="1"/>
    <col min="16139" max="16139" width="11.28515625" style="81" customWidth="1"/>
    <col min="16140" max="16140" width="12.5703125" style="81" bestFit="1" customWidth="1"/>
    <col min="16141" max="16384" width="9.140625" style="81"/>
  </cols>
  <sheetData>
    <row r="1" spans="1:12" ht="20.25" x14ac:dyDescent="0.3">
      <c r="A1" s="1249" t="s">
        <v>1030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</row>
    <row r="2" spans="1:12" s="90" customFormat="1" x14ac:dyDescent="0.2">
      <c r="A2" s="563" t="s">
        <v>1016</v>
      </c>
      <c r="D2" s="432"/>
      <c r="E2" s="562"/>
    </row>
    <row r="3" spans="1:12" s="433" customFormat="1" ht="27.75" customHeight="1" x14ac:dyDescent="0.2">
      <c r="A3" s="553" t="s">
        <v>1017</v>
      </c>
      <c r="B3" s="553" t="s">
        <v>111</v>
      </c>
      <c r="C3" s="553" t="s">
        <v>1018</v>
      </c>
      <c r="D3" s="553" t="s">
        <v>1011</v>
      </c>
      <c r="E3" s="553" t="s">
        <v>478</v>
      </c>
      <c r="F3" s="553" t="s">
        <v>1019</v>
      </c>
      <c r="G3" s="553" t="s">
        <v>1020</v>
      </c>
      <c r="H3" s="553" t="s">
        <v>1021</v>
      </c>
      <c r="I3" s="553" t="s">
        <v>1022</v>
      </c>
      <c r="J3" s="553" t="s">
        <v>1023</v>
      </c>
      <c r="K3" s="553" t="s">
        <v>124</v>
      </c>
      <c r="L3" s="553" t="s">
        <v>18</v>
      </c>
    </row>
    <row r="4" spans="1:12" s="90" customFormat="1" x14ac:dyDescent="0.2">
      <c r="A4" s="557">
        <v>1</v>
      </c>
      <c r="B4" s="434" t="s">
        <v>26</v>
      </c>
      <c r="C4" s="435">
        <v>2294717</v>
      </c>
      <c r="D4" s="1243">
        <v>79591</v>
      </c>
      <c r="E4" s="435">
        <v>253</v>
      </c>
      <c r="F4" s="436">
        <f>C4*E4*0.0001</f>
        <v>58056.340100000001</v>
      </c>
      <c r="G4" s="436">
        <f>C4*E4*2.69/100000</f>
        <v>15617.155486900001</v>
      </c>
      <c r="H4" s="436">
        <f>F4*1175/100000</f>
        <v>682.16199617500013</v>
      </c>
      <c r="I4" s="436">
        <f>F4*3000/100000</f>
        <v>1741.6902030000001</v>
      </c>
      <c r="J4" s="1244">
        <f>D4*10*600/100000</f>
        <v>4775.46</v>
      </c>
      <c r="K4" s="1250">
        <f>2.7/100*(G7+H7+I7+J7)</f>
        <v>934.52453494965005</v>
      </c>
      <c r="L4" s="1248">
        <f>G7+H7+I7+J7+K7</f>
        <v>35546.544347899646</v>
      </c>
    </row>
    <row r="5" spans="1:12" x14ac:dyDescent="0.2">
      <c r="A5" s="87">
        <v>2</v>
      </c>
      <c r="B5" s="434" t="s">
        <v>27</v>
      </c>
      <c r="C5" s="435">
        <v>997048</v>
      </c>
      <c r="D5" s="1243"/>
      <c r="E5" s="435">
        <v>253</v>
      </c>
      <c r="F5" s="436">
        <f>C5*E5*0.00015</f>
        <v>37837.971599999997</v>
      </c>
      <c r="G5" s="436">
        <f>C5*E5*4.03/100000</f>
        <v>10165.801703200001</v>
      </c>
      <c r="H5" s="436">
        <f>F5*1175/100000</f>
        <v>444.59616629999994</v>
      </c>
      <c r="I5" s="436">
        <f>F5*3000/100000</f>
        <v>1135.139148</v>
      </c>
      <c r="J5" s="1244"/>
      <c r="K5" s="1244"/>
      <c r="L5" s="1208"/>
    </row>
    <row r="6" spans="1:12" x14ac:dyDescent="0.2">
      <c r="A6" s="557">
        <v>3</v>
      </c>
      <c r="B6" s="434" t="s">
        <v>1024</v>
      </c>
      <c r="C6" s="435">
        <v>3465</v>
      </c>
      <c r="D6" s="1243"/>
      <c r="E6" s="435">
        <v>310</v>
      </c>
      <c r="F6" s="436">
        <f>C6*E6*0.00015</f>
        <v>161.12249999999997</v>
      </c>
      <c r="G6" s="436">
        <f>C6*E6*4.03/100000</f>
        <v>43.288245000000003</v>
      </c>
      <c r="H6" s="436">
        <f>F6*1175/100000</f>
        <v>1.8931893749999997</v>
      </c>
      <c r="I6" s="436">
        <f>F6*3000/100000</f>
        <v>4.8336749999999995</v>
      </c>
      <c r="J6" s="1244"/>
      <c r="K6" s="1244"/>
      <c r="L6" s="1208"/>
    </row>
    <row r="7" spans="1:12" s="90" customFormat="1" x14ac:dyDescent="0.2">
      <c r="A7" s="1058" t="s">
        <v>18</v>
      </c>
      <c r="B7" s="1058"/>
      <c r="C7" s="437">
        <f>SUM(C4:C6)</f>
        <v>3295230</v>
      </c>
      <c r="D7" s="438"/>
      <c r="E7" s="437"/>
      <c r="F7" s="439">
        <f>SUM(F4:F6)</f>
        <v>96055.434199999989</v>
      </c>
      <c r="G7" s="439">
        <f>SUM(G4:G6)</f>
        <v>25826.245435100001</v>
      </c>
      <c r="H7" s="439">
        <f>SUM(H4:H6)</f>
        <v>1128.6513518500001</v>
      </c>
      <c r="I7" s="439">
        <f>SUM(I4:I6)</f>
        <v>2881.6630260000002</v>
      </c>
      <c r="J7" s="440">
        <v>4775.46</v>
      </c>
      <c r="K7" s="439">
        <f>2.7/100*(G7+H7+I7+J7)</f>
        <v>934.52453494965005</v>
      </c>
      <c r="L7" s="1208"/>
    </row>
    <row r="9" spans="1:12" s="90" customFormat="1" x14ac:dyDescent="0.2">
      <c r="A9" s="563" t="s">
        <v>1025</v>
      </c>
      <c r="D9" s="432"/>
      <c r="E9" s="562"/>
    </row>
    <row r="10" spans="1:12" s="433" customFormat="1" ht="25.5" x14ac:dyDescent="0.2">
      <c r="A10" s="553" t="s">
        <v>1017</v>
      </c>
      <c r="B10" s="553" t="s">
        <v>111</v>
      </c>
      <c r="C10" s="553" t="s">
        <v>1018</v>
      </c>
      <c r="D10" s="553" t="s">
        <v>1011</v>
      </c>
      <c r="E10" s="553" t="s">
        <v>478</v>
      </c>
      <c r="F10" s="553" t="s">
        <v>1019</v>
      </c>
      <c r="G10" s="553" t="s">
        <v>1020</v>
      </c>
      <c r="H10" s="553" t="s">
        <v>1021</v>
      </c>
      <c r="I10" s="553" t="s">
        <v>1022</v>
      </c>
      <c r="J10" s="553" t="s">
        <v>1023</v>
      </c>
      <c r="K10" s="553" t="s">
        <v>124</v>
      </c>
      <c r="L10" s="553" t="s">
        <v>18</v>
      </c>
    </row>
    <row r="11" spans="1:12" s="90" customFormat="1" x14ac:dyDescent="0.2">
      <c r="A11" s="557">
        <v>1</v>
      </c>
      <c r="B11" s="434" t="s">
        <v>26</v>
      </c>
      <c r="C11" s="435">
        <v>2294717</v>
      </c>
      <c r="D11" s="1243">
        <v>79591</v>
      </c>
      <c r="E11" s="435">
        <v>253</v>
      </c>
      <c r="F11" s="441"/>
      <c r="G11" s="436">
        <f>C11*E11*1.79/100000</f>
        <v>10392.084877899999</v>
      </c>
      <c r="H11" s="441"/>
      <c r="I11" s="441"/>
      <c r="J11" s="1244">
        <f>D11*400*10/100000</f>
        <v>3183.64</v>
      </c>
      <c r="K11" s="1245">
        <f>2.7/100*(G14+J14)</f>
        <v>549.85220164170005</v>
      </c>
      <c r="L11" s="1248">
        <f>G14+J14+K14</f>
        <v>20914.7485587417</v>
      </c>
    </row>
    <row r="12" spans="1:12" x14ac:dyDescent="0.2">
      <c r="A12" s="87">
        <v>2</v>
      </c>
      <c r="B12" s="434" t="s">
        <v>27</v>
      </c>
      <c r="C12" s="435">
        <v>997048</v>
      </c>
      <c r="D12" s="1243"/>
      <c r="E12" s="435">
        <v>253</v>
      </c>
      <c r="F12" s="441"/>
      <c r="G12" s="436">
        <f>C12*E12*2.68/100000</f>
        <v>6760.384259200001</v>
      </c>
      <c r="H12" s="441"/>
      <c r="I12" s="441"/>
      <c r="J12" s="1244"/>
      <c r="K12" s="1246"/>
      <c r="L12" s="1208"/>
    </row>
    <row r="13" spans="1:12" x14ac:dyDescent="0.2">
      <c r="A13" s="557">
        <v>3</v>
      </c>
      <c r="B13" s="434" t="s">
        <v>1024</v>
      </c>
      <c r="C13" s="435">
        <v>3465</v>
      </c>
      <c r="D13" s="1243"/>
      <c r="E13" s="435">
        <v>310</v>
      </c>
      <c r="F13" s="441"/>
      <c r="G13" s="436">
        <f>C13*E13*2.68/100000</f>
        <v>28.787220000000001</v>
      </c>
      <c r="H13" s="441"/>
      <c r="I13" s="441"/>
      <c r="J13" s="1244"/>
      <c r="K13" s="1247"/>
      <c r="L13" s="1208"/>
    </row>
    <row r="14" spans="1:12" s="90" customFormat="1" x14ac:dyDescent="0.2">
      <c r="A14" s="1058" t="s">
        <v>18</v>
      </c>
      <c r="B14" s="1058"/>
      <c r="C14" s="437">
        <f>SUM(C11:C13)</f>
        <v>3295230</v>
      </c>
      <c r="D14" s="438"/>
      <c r="E14" s="437"/>
      <c r="F14" s="440"/>
      <c r="G14" s="439">
        <f>SUM(G11:G13)</f>
        <v>17181.256357099999</v>
      </c>
      <c r="H14" s="440"/>
      <c r="I14" s="440"/>
      <c r="J14" s="440">
        <f>J11</f>
        <v>3183.64</v>
      </c>
      <c r="K14" s="439">
        <f>2.7/100*(G14+J14)</f>
        <v>549.85220164170005</v>
      </c>
      <c r="L14" s="1208"/>
    </row>
    <row r="15" spans="1:12" s="90" customFormat="1" x14ac:dyDescent="0.2">
      <c r="A15" s="448"/>
      <c r="B15" s="448"/>
      <c r="C15" s="449"/>
      <c r="D15" s="450"/>
      <c r="E15" s="449"/>
      <c r="F15" s="451"/>
      <c r="G15" s="452"/>
      <c r="H15" s="451"/>
      <c r="I15" s="451"/>
      <c r="J15" s="451"/>
      <c r="K15" s="452"/>
      <c r="L15" s="453"/>
    </row>
    <row r="16" spans="1:12" x14ac:dyDescent="0.2">
      <c r="A16" s="563" t="s">
        <v>1026</v>
      </c>
      <c r="G16" s="454"/>
      <c r="H16" s="454"/>
      <c r="I16" s="454"/>
      <c r="J16" s="454"/>
      <c r="K16" s="454"/>
    </row>
    <row r="17" spans="1:12" s="90" customFormat="1" x14ac:dyDescent="0.2">
      <c r="A17" s="563"/>
      <c r="D17" s="432"/>
      <c r="E17" s="562"/>
    </row>
    <row r="18" spans="1:12" s="433" customFormat="1" ht="25.5" x14ac:dyDescent="0.2">
      <c r="A18" s="553" t="s">
        <v>1017</v>
      </c>
      <c r="B18" s="553" t="s">
        <v>111</v>
      </c>
      <c r="C18" s="553" t="s">
        <v>1020</v>
      </c>
      <c r="D18" s="553" t="s">
        <v>1021</v>
      </c>
      <c r="E18" s="553" t="s">
        <v>1022</v>
      </c>
      <c r="F18" s="553" t="s">
        <v>1023</v>
      </c>
      <c r="G18" s="553" t="s">
        <v>124</v>
      </c>
      <c r="H18" s="553" t="s">
        <v>37</v>
      </c>
    </row>
    <row r="19" spans="1:12" s="90" customFormat="1" x14ac:dyDescent="0.2">
      <c r="A19" s="557">
        <v>1</v>
      </c>
      <c r="B19" s="434" t="s">
        <v>26</v>
      </c>
      <c r="C19" s="564">
        <f>G4+G11</f>
        <v>26009.2403648</v>
      </c>
      <c r="D19" s="564">
        <f>H4+H11</f>
        <v>682.16199617500013</v>
      </c>
      <c r="E19" s="564">
        <f>I4+I11</f>
        <v>1741.6902030000001</v>
      </c>
      <c r="F19" s="1251">
        <f>J4+J11</f>
        <v>7959.1</v>
      </c>
      <c r="G19" s="1251">
        <f>K4+K11</f>
        <v>1484.37673659135</v>
      </c>
      <c r="H19" s="1252">
        <f>C22+D22+E22+F22+G19</f>
        <v>56461.292906641356</v>
      </c>
    </row>
    <row r="20" spans="1:12" x14ac:dyDescent="0.2">
      <c r="A20" s="87">
        <v>2</v>
      </c>
      <c r="B20" s="434" t="s">
        <v>27</v>
      </c>
      <c r="C20" s="564">
        <f t="shared" ref="C20:E21" si="0">G5+G12</f>
        <v>16926.185962400003</v>
      </c>
      <c r="D20" s="564">
        <f t="shared" si="0"/>
        <v>444.59616629999994</v>
      </c>
      <c r="E20" s="564">
        <f t="shared" si="0"/>
        <v>1135.139148</v>
      </c>
      <c r="F20" s="1251"/>
      <c r="G20" s="1251"/>
      <c r="H20" s="1253"/>
    </row>
    <row r="21" spans="1:12" x14ac:dyDescent="0.2">
      <c r="A21" s="557">
        <v>3</v>
      </c>
      <c r="B21" s="434" t="s">
        <v>1024</v>
      </c>
      <c r="C21" s="564">
        <f t="shared" si="0"/>
        <v>72.075465000000008</v>
      </c>
      <c r="D21" s="564">
        <f t="shared" si="0"/>
        <v>1.8931893749999997</v>
      </c>
      <c r="E21" s="564">
        <f t="shared" si="0"/>
        <v>4.8336749999999995</v>
      </c>
      <c r="F21" s="1251"/>
      <c r="G21" s="1251"/>
      <c r="H21" s="1253"/>
    </row>
    <row r="22" spans="1:12" s="90" customFormat="1" x14ac:dyDescent="0.2">
      <c r="A22" s="1058" t="s">
        <v>18</v>
      </c>
      <c r="B22" s="1058"/>
      <c r="C22" s="442">
        <f>SUM(C19:C21)</f>
        <v>43007.501792200004</v>
      </c>
      <c r="D22" s="442">
        <f>SUM(D19:D21)</f>
        <v>1128.6513518500001</v>
      </c>
      <c r="E22" s="442">
        <f>SUM(E19:E21)</f>
        <v>2881.6630260000002</v>
      </c>
      <c r="F22" s="442">
        <f>SUM(F19)</f>
        <v>7959.1</v>
      </c>
      <c r="G22" s="442">
        <f>SUM(G19)</f>
        <v>1484.37673659135</v>
      </c>
      <c r="H22" s="1254"/>
    </row>
    <row r="24" spans="1:12" s="562" customFormat="1" x14ac:dyDescent="0.2">
      <c r="A24" s="553" t="s">
        <v>1017</v>
      </c>
      <c r="B24" s="553" t="s">
        <v>111</v>
      </c>
      <c r="C24" s="557" t="s">
        <v>1027</v>
      </c>
      <c r="D24" s="561" t="s">
        <v>1028</v>
      </c>
      <c r="E24" s="557" t="s">
        <v>18</v>
      </c>
    </row>
    <row r="25" spans="1:12" x14ac:dyDescent="0.2">
      <c r="A25" s="557">
        <v>1</v>
      </c>
      <c r="B25" s="434" t="s">
        <v>1029</v>
      </c>
      <c r="C25" s="443">
        <f>L4</f>
        <v>35546.544347899646</v>
      </c>
      <c r="D25" s="444">
        <v>5398.52</v>
      </c>
      <c r="E25" s="445">
        <f>SUM(C25:D25)</f>
        <v>40945.06434789965</v>
      </c>
    </row>
    <row r="26" spans="1:12" x14ac:dyDescent="0.2">
      <c r="A26" s="87">
        <v>2</v>
      </c>
      <c r="B26" s="434" t="s">
        <v>103</v>
      </c>
      <c r="C26" s="443">
        <f>L11</f>
        <v>20914.7485587417</v>
      </c>
      <c r="D26" s="444">
        <v>3599.02</v>
      </c>
      <c r="E26" s="445">
        <f>SUM(C26:D26)</f>
        <v>24513.7685587417</v>
      </c>
    </row>
    <row r="27" spans="1:12" s="90" customFormat="1" x14ac:dyDescent="0.2">
      <c r="A27" s="905" t="s">
        <v>18</v>
      </c>
      <c r="B27" s="906"/>
      <c r="C27" s="446">
        <f>SUM(C25:C26)</f>
        <v>56461.292906641349</v>
      </c>
      <c r="D27" s="442">
        <f>SUM(D25:D26)</f>
        <v>8997.5400000000009</v>
      </c>
      <c r="E27" s="447">
        <f>SUM(C27:D27)</f>
        <v>65458.83290664135</v>
      </c>
    </row>
    <row r="28" spans="1:12" s="90" customFormat="1" x14ac:dyDescent="0.2">
      <c r="A28" s="448"/>
      <c r="B28" s="448"/>
      <c r="C28" s="692"/>
      <c r="D28" s="693"/>
      <c r="E28" s="694"/>
    </row>
    <row r="30" spans="1:12" x14ac:dyDescent="0.2">
      <c r="A30" s="156" t="s">
        <v>11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x14ac:dyDescent="0.2">
      <c r="A31" s="688"/>
      <c r="B31" s="688"/>
      <c r="C31" s="688"/>
      <c r="D31" s="688"/>
      <c r="E31" s="688"/>
      <c r="F31" s="688"/>
      <c r="G31" s="688"/>
      <c r="H31" s="688"/>
      <c r="I31" s="688"/>
      <c r="J31" s="688"/>
      <c r="K31" s="688" t="s">
        <v>12</v>
      </c>
      <c r="L31" s="688"/>
    </row>
    <row r="32" spans="1:12" x14ac:dyDescent="0.2">
      <c r="A32" s="688"/>
      <c r="B32" s="688"/>
      <c r="C32" s="688"/>
      <c r="D32" s="688"/>
      <c r="E32" s="688"/>
      <c r="F32" s="688"/>
      <c r="G32" s="688"/>
      <c r="H32" s="688"/>
      <c r="I32" s="688"/>
      <c r="J32" s="1209" t="s">
        <v>13</v>
      </c>
      <c r="K32" s="1209"/>
      <c r="L32" s="1209"/>
    </row>
    <row r="33" spans="1:12" x14ac:dyDescent="0.2">
      <c r="A33" s="687"/>
      <c r="B33" s="687"/>
      <c r="C33" s="687"/>
      <c r="D33" s="687"/>
      <c r="E33" s="687"/>
      <c r="F33" s="687"/>
      <c r="G33" s="687"/>
      <c r="H33" s="687"/>
      <c r="I33" s="687"/>
      <c r="J33" s="691" t="s">
        <v>1124</v>
      </c>
      <c r="K33" s="691"/>
      <c r="L33" s="691"/>
    </row>
    <row r="34" spans="1:12" x14ac:dyDescent="0.2">
      <c r="A34" s="690"/>
      <c r="B34" s="690"/>
      <c r="C34" s="690"/>
      <c r="D34" s="690"/>
      <c r="E34" s="690"/>
      <c r="F34" s="690"/>
      <c r="G34" s="690"/>
      <c r="H34" s="690"/>
      <c r="I34" s="690"/>
      <c r="J34" s="691" t="s">
        <v>84</v>
      </c>
      <c r="K34" s="691"/>
      <c r="L34" s="691"/>
    </row>
  </sheetData>
  <mergeCells count="17">
    <mergeCell ref="F19:F21"/>
    <mergeCell ref="G19:G21"/>
    <mergeCell ref="H19:H22"/>
    <mergeCell ref="A22:B22"/>
    <mergeCell ref="J32:L32"/>
    <mergeCell ref="A27:B27"/>
    <mergeCell ref="A1:L1"/>
    <mergeCell ref="D4:D6"/>
    <mergeCell ref="J4:J6"/>
    <mergeCell ref="K4:K6"/>
    <mergeCell ref="L4:L7"/>
    <mergeCell ref="A7:B7"/>
    <mergeCell ref="D11:D13"/>
    <mergeCell ref="J11:J13"/>
    <mergeCell ref="K11:K13"/>
    <mergeCell ref="L11:L14"/>
    <mergeCell ref="A14:B14"/>
  </mergeCells>
  <pageMargins left="0.49" right="0.21" top="0.43" bottom="0.75" header="0.3" footer="0.3"/>
  <pageSetup paperSize="9" scale="95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E36"/>
  <sheetViews>
    <sheetView topLeftCell="A7" zoomScaleNormal="100" zoomScaleSheetLayoutView="100" workbookViewId="0">
      <selection activeCell="C29" sqref="C29"/>
    </sheetView>
  </sheetViews>
  <sheetFormatPr defaultRowHeight="12.75" x14ac:dyDescent="0.2"/>
  <cols>
    <col min="1" max="1" width="6" style="628" customWidth="1"/>
    <col min="2" max="2" width="23.85546875" style="613" bestFit="1" customWidth="1"/>
    <col min="3" max="4" width="19" style="613" customWidth="1"/>
    <col min="5" max="5" width="18.28515625" style="613" customWidth="1"/>
    <col min="6" max="256" width="9.140625" style="613"/>
    <col min="257" max="257" width="6" style="613" customWidth="1"/>
    <col min="258" max="258" width="23.85546875" style="613" bestFit="1" customWidth="1"/>
    <col min="259" max="260" width="19" style="613" customWidth="1"/>
    <col min="261" max="261" width="18.28515625" style="613" customWidth="1"/>
    <col min="262" max="512" width="9.140625" style="613"/>
    <col min="513" max="513" width="6" style="613" customWidth="1"/>
    <col min="514" max="514" width="23.85546875" style="613" bestFit="1" customWidth="1"/>
    <col min="515" max="516" width="19" style="613" customWidth="1"/>
    <col min="517" max="517" width="18.28515625" style="613" customWidth="1"/>
    <col min="518" max="768" width="9.140625" style="613"/>
    <col min="769" max="769" width="6" style="613" customWidth="1"/>
    <col min="770" max="770" width="23.85546875" style="613" bestFit="1" customWidth="1"/>
    <col min="771" max="772" width="19" style="613" customWidth="1"/>
    <col min="773" max="773" width="18.28515625" style="613" customWidth="1"/>
    <col min="774" max="1024" width="9.140625" style="613"/>
    <col min="1025" max="1025" width="6" style="613" customWidth="1"/>
    <col min="1026" max="1026" width="23.85546875" style="613" bestFit="1" customWidth="1"/>
    <col min="1027" max="1028" width="19" style="613" customWidth="1"/>
    <col min="1029" max="1029" width="18.28515625" style="613" customWidth="1"/>
    <col min="1030" max="1280" width="9.140625" style="613"/>
    <col min="1281" max="1281" width="6" style="613" customWidth="1"/>
    <col min="1282" max="1282" width="23.85546875" style="613" bestFit="1" customWidth="1"/>
    <col min="1283" max="1284" width="19" style="613" customWidth="1"/>
    <col min="1285" max="1285" width="18.28515625" style="613" customWidth="1"/>
    <col min="1286" max="1536" width="9.140625" style="613"/>
    <col min="1537" max="1537" width="6" style="613" customWidth="1"/>
    <col min="1538" max="1538" width="23.85546875" style="613" bestFit="1" customWidth="1"/>
    <col min="1539" max="1540" width="19" style="613" customWidth="1"/>
    <col min="1541" max="1541" width="18.28515625" style="613" customWidth="1"/>
    <col min="1542" max="1792" width="9.140625" style="613"/>
    <col min="1793" max="1793" width="6" style="613" customWidth="1"/>
    <col min="1794" max="1794" width="23.85546875" style="613" bestFit="1" customWidth="1"/>
    <col min="1795" max="1796" width="19" style="613" customWidth="1"/>
    <col min="1797" max="1797" width="18.28515625" style="613" customWidth="1"/>
    <col min="1798" max="2048" width="9.140625" style="613"/>
    <col min="2049" max="2049" width="6" style="613" customWidth="1"/>
    <col min="2050" max="2050" width="23.85546875" style="613" bestFit="1" customWidth="1"/>
    <col min="2051" max="2052" width="19" style="613" customWidth="1"/>
    <col min="2053" max="2053" width="18.28515625" style="613" customWidth="1"/>
    <col min="2054" max="2304" width="9.140625" style="613"/>
    <col min="2305" max="2305" width="6" style="613" customWidth="1"/>
    <col min="2306" max="2306" width="23.85546875" style="613" bestFit="1" customWidth="1"/>
    <col min="2307" max="2308" width="19" style="613" customWidth="1"/>
    <col min="2309" max="2309" width="18.28515625" style="613" customWidth="1"/>
    <col min="2310" max="2560" width="9.140625" style="613"/>
    <col min="2561" max="2561" width="6" style="613" customWidth="1"/>
    <col min="2562" max="2562" width="23.85546875" style="613" bestFit="1" customWidth="1"/>
    <col min="2563" max="2564" width="19" style="613" customWidth="1"/>
    <col min="2565" max="2565" width="18.28515625" style="613" customWidth="1"/>
    <col min="2566" max="2816" width="9.140625" style="613"/>
    <col min="2817" max="2817" width="6" style="613" customWidth="1"/>
    <col min="2818" max="2818" width="23.85546875" style="613" bestFit="1" customWidth="1"/>
    <col min="2819" max="2820" width="19" style="613" customWidth="1"/>
    <col min="2821" max="2821" width="18.28515625" style="613" customWidth="1"/>
    <col min="2822" max="3072" width="9.140625" style="613"/>
    <col min="3073" max="3073" width="6" style="613" customWidth="1"/>
    <col min="3074" max="3074" width="23.85546875" style="613" bestFit="1" customWidth="1"/>
    <col min="3075" max="3076" width="19" style="613" customWidth="1"/>
    <col min="3077" max="3077" width="18.28515625" style="613" customWidth="1"/>
    <col min="3078" max="3328" width="9.140625" style="613"/>
    <col min="3329" max="3329" width="6" style="613" customWidth="1"/>
    <col min="3330" max="3330" width="23.85546875" style="613" bestFit="1" customWidth="1"/>
    <col min="3331" max="3332" width="19" style="613" customWidth="1"/>
    <col min="3333" max="3333" width="18.28515625" style="613" customWidth="1"/>
    <col min="3334" max="3584" width="9.140625" style="613"/>
    <col min="3585" max="3585" width="6" style="613" customWidth="1"/>
    <col min="3586" max="3586" width="23.85546875" style="613" bestFit="1" customWidth="1"/>
    <col min="3587" max="3588" width="19" style="613" customWidth="1"/>
    <col min="3589" max="3589" width="18.28515625" style="613" customWidth="1"/>
    <col min="3590" max="3840" width="9.140625" style="613"/>
    <col min="3841" max="3841" width="6" style="613" customWidth="1"/>
    <col min="3842" max="3842" width="23.85546875" style="613" bestFit="1" customWidth="1"/>
    <col min="3843" max="3844" width="19" style="613" customWidth="1"/>
    <col min="3845" max="3845" width="18.28515625" style="613" customWidth="1"/>
    <col min="3846" max="4096" width="9.140625" style="613"/>
    <col min="4097" max="4097" width="6" style="613" customWidth="1"/>
    <col min="4098" max="4098" width="23.85546875" style="613" bestFit="1" customWidth="1"/>
    <col min="4099" max="4100" width="19" style="613" customWidth="1"/>
    <col min="4101" max="4101" width="18.28515625" style="613" customWidth="1"/>
    <col min="4102" max="4352" width="9.140625" style="613"/>
    <col min="4353" max="4353" width="6" style="613" customWidth="1"/>
    <col min="4354" max="4354" width="23.85546875" style="613" bestFit="1" customWidth="1"/>
    <col min="4355" max="4356" width="19" style="613" customWidth="1"/>
    <col min="4357" max="4357" width="18.28515625" style="613" customWidth="1"/>
    <col min="4358" max="4608" width="9.140625" style="613"/>
    <col min="4609" max="4609" width="6" style="613" customWidth="1"/>
    <col min="4610" max="4610" width="23.85546875" style="613" bestFit="1" customWidth="1"/>
    <col min="4611" max="4612" width="19" style="613" customWidth="1"/>
    <col min="4613" max="4613" width="18.28515625" style="613" customWidth="1"/>
    <col min="4614" max="4864" width="9.140625" style="613"/>
    <col min="4865" max="4865" width="6" style="613" customWidth="1"/>
    <col min="4866" max="4866" width="23.85546875" style="613" bestFit="1" customWidth="1"/>
    <col min="4867" max="4868" width="19" style="613" customWidth="1"/>
    <col min="4869" max="4869" width="18.28515625" style="613" customWidth="1"/>
    <col min="4870" max="5120" width="9.140625" style="613"/>
    <col min="5121" max="5121" width="6" style="613" customWidth="1"/>
    <col min="5122" max="5122" width="23.85546875" style="613" bestFit="1" customWidth="1"/>
    <col min="5123" max="5124" width="19" style="613" customWidth="1"/>
    <col min="5125" max="5125" width="18.28515625" style="613" customWidth="1"/>
    <col min="5126" max="5376" width="9.140625" style="613"/>
    <col min="5377" max="5377" width="6" style="613" customWidth="1"/>
    <col min="5378" max="5378" width="23.85546875" style="613" bestFit="1" customWidth="1"/>
    <col min="5379" max="5380" width="19" style="613" customWidth="1"/>
    <col min="5381" max="5381" width="18.28515625" style="613" customWidth="1"/>
    <col min="5382" max="5632" width="9.140625" style="613"/>
    <col min="5633" max="5633" width="6" style="613" customWidth="1"/>
    <col min="5634" max="5634" width="23.85546875" style="613" bestFit="1" customWidth="1"/>
    <col min="5635" max="5636" width="19" style="613" customWidth="1"/>
    <col min="5637" max="5637" width="18.28515625" style="613" customWidth="1"/>
    <col min="5638" max="5888" width="9.140625" style="613"/>
    <col min="5889" max="5889" width="6" style="613" customWidth="1"/>
    <col min="5890" max="5890" width="23.85546875" style="613" bestFit="1" customWidth="1"/>
    <col min="5891" max="5892" width="19" style="613" customWidth="1"/>
    <col min="5893" max="5893" width="18.28515625" style="613" customWidth="1"/>
    <col min="5894" max="6144" width="9.140625" style="613"/>
    <col min="6145" max="6145" width="6" style="613" customWidth="1"/>
    <col min="6146" max="6146" width="23.85546875" style="613" bestFit="1" customWidth="1"/>
    <col min="6147" max="6148" width="19" style="613" customWidth="1"/>
    <col min="6149" max="6149" width="18.28515625" style="613" customWidth="1"/>
    <col min="6150" max="6400" width="9.140625" style="613"/>
    <col min="6401" max="6401" width="6" style="613" customWidth="1"/>
    <col min="6402" max="6402" width="23.85546875" style="613" bestFit="1" customWidth="1"/>
    <col min="6403" max="6404" width="19" style="613" customWidth="1"/>
    <col min="6405" max="6405" width="18.28515625" style="613" customWidth="1"/>
    <col min="6406" max="6656" width="9.140625" style="613"/>
    <col min="6657" max="6657" width="6" style="613" customWidth="1"/>
    <col min="6658" max="6658" width="23.85546875" style="613" bestFit="1" customWidth="1"/>
    <col min="6659" max="6660" width="19" style="613" customWidth="1"/>
    <col min="6661" max="6661" width="18.28515625" style="613" customWidth="1"/>
    <col min="6662" max="6912" width="9.140625" style="613"/>
    <col min="6913" max="6913" width="6" style="613" customWidth="1"/>
    <col min="6914" max="6914" width="23.85546875" style="613" bestFit="1" customWidth="1"/>
    <col min="6915" max="6916" width="19" style="613" customWidth="1"/>
    <col min="6917" max="6917" width="18.28515625" style="613" customWidth="1"/>
    <col min="6918" max="7168" width="9.140625" style="613"/>
    <col min="7169" max="7169" width="6" style="613" customWidth="1"/>
    <col min="7170" max="7170" width="23.85546875" style="613" bestFit="1" customWidth="1"/>
    <col min="7171" max="7172" width="19" style="613" customWidth="1"/>
    <col min="7173" max="7173" width="18.28515625" style="613" customWidth="1"/>
    <col min="7174" max="7424" width="9.140625" style="613"/>
    <col min="7425" max="7425" width="6" style="613" customWidth="1"/>
    <col min="7426" max="7426" width="23.85546875" style="613" bestFit="1" customWidth="1"/>
    <col min="7427" max="7428" width="19" style="613" customWidth="1"/>
    <col min="7429" max="7429" width="18.28515625" style="613" customWidth="1"/>
    <col min="7430" max="7680" width="9.140625" style="613"/>
    <col min="7681" max="7681" width="6" style="613" customWidth="1"/>
    <col min="7682" max="7682" width="23.85546875" style="613" bestFit="1" customWidth="1"/>
    <col min="7683" max="7684" width="19" style="613" customWidth="1"/>
    <col min="7685" max="7685" width="18.28515625" style="613" customWidth="1"/>
    <col min="7686" max="7936" width="9.140625" style="613"/>
    <col min="7937" max="7937" width="6" style="613" customWidth="1"/>
    <col min="7938" max="7938" width="23.85546875" style="613" bestFit="1" customWidth="1"/>
    <col min="7939" max="7940" width="19" style="613" customWidth="1"/>
    <col min="7941" max="7941" width="18.28515625" style="613" customWidth="1"/>
    <col min="7942" max="8192" width="9.140625" style="613"/>
    <col min="8193" max="8193" width="6" style="613" customWidth="1"/>
    <col min="8194" max="8194" width="23.85546875" style="613" bestFit="1" customWidth="1"/>
    <col min="8195" max="8196" width="19" style="613" customWidth="1"/>
    <col min="8197" max="8197" width="18.28515625" style="613" customWidth="1"/>
    <col min="8198" max="8448" width="9.140625" style="613"/>
    <col min="8449" max="8449" width="6" style="613" customWidth="1"/>
    <col min="8450" max="8450" width="23.85546875" style="613" bestFit="1" customWidth="1"/>
    <col min="8451" max="8452" width="19" style="613" customWidth="1"/>
    <col min="8453" max="8453" width="18.28515625" style="613" customWidth="1"/>
    <col min="8454" max="8704" width="9.140625" style="613"/>
    <col min="8705" max="8705" width="6" style="613" customWidth="1"/>
    <col min="8706" max="8706" width="23.85546875" style="613" bestFit="1" customWidth="1"/>
    <col min="8707" max="8708" width="19" style="613" customWidth="1"/>
    <col min="8709" max="8709" width="18.28515625" style="613" customWidth="1"/>
    <col min="8710" max="8960" width="9.140625" style="613"/>
    <col min="8961" max="8961" width="6" style="613" customWidth="1"/>
    <col min="8962" max="8962" width="23.85546875" style="613" bestFit="1" customWidth="1"/>
    <col min="8963" max="8964" width="19" style="613" customWidth="1"/>
    <col min="8965" max="8965" width="18.28515625" style="613" customWidth="1"/>
    <col min="8966" max="9216" width="9.140625" style="613"/>
    <col min="9217" max="9217" width="6" style="613" customWidth="1"/>
    <col min="9218" max="9218" width="23.85546875" style="613" bestFit="1" customWidth="1"/>
    <col min="9219" max="9220" width="19" style="613" customWidth="1"/>
    <col min="9221" max="9221" width="18.28515625" style="613" customWidth="1"/>
    <col min="9222" max="9472" width="9.140625" style="613"/>
    <col min="9473" max="9473" width="6" style="613" customWidth="1"/>
    <col min="9474" max="9474" width="23.85546875" style="613" bestFit="1" customWidth="1"/>
    <col min="9475" max="9476" width="19" style="613" customWidth="1"/>
    <col min="9477" max="9477" width="18.28515625" style="613" customWidth="1"/>
    <col min="9478" max="9728" width="9.140625" style="613"/>
    <col min="9729" max="9729" width="6" style="613" customWidth="1"/>
    <col min="9730" max="9730" width="23.85546875" style="613" bestFit="1" customWidth="1"/>
    <col min="9731" max="9732" width="19" style="613" customWidth="1"/>
    <col min="9733" max="9733" width="18.28515625" style="613" customWidth="1"/>
    <col min="9734" max="9984" width="9.140625" style="613"/>
    <col min="9985" max="9985" width="6" style="613" customWidth="1"/>
    <col min="9986" max="9986" width="23.85546875" style="613" bestFit="1" customWidth="1"/>
    <col min="9987" max="9988" width="19" style="613" customWidth="1"/>
    <col min="9989" max="9989" width="18.28515625" style="613" customWidth="1"/>
    <col min="9990" max="10240" width="9.140625" style="613"/>
    <col min="10241" max="10241" width="6" style="613" customWidth="1"/>
    <col min="10242" max="10242" width="23.85546875" style="613" bestFit="1" customWidth="1"/>
    <col min="10243" max="10244" width="19" style="613" customWidth="1"/>
    <col min="10245" max="10245" width="18.28515625" style="613" customWidth="1"/>
    <col min="10246" max="10496" width="9.140625" style="613"/>
    <col min="10497" max="10497" width="6" style="613" customWidth="1"/>
    <col min="10498" max="10498" width="23.85546875" style="613" bestFit="1" customWidth="1"/>
    <col min="10499" max="10500" width="19" style="613" customWidth="1"/>
    <col min="10501" max="10501" width="18.28515625" style="613" customWidth="1"/>
    <col min="10502" max="10752" width="9.140625" style="613"/>
    <col min="10753" max="10753" width="6" style="613" customWidth="1"/>
    <col min="10754" max="10754" width="23.85546875" style="613" bestFit="1" customWidth="1"/>
    <col min="10755" max="10756" width="19" style="613" customWidth="1"/>
    <col min="10757" max="10757" width="18.28515625" style="613" customWidth="1"/>
    <col min="10758" max="11008" width="9.140625" style="613"/>
    <col min="11009" max="11009" width="6" style="613" customWidth="1"/>
    <col min="11010" max="11010" width="23.85546875" style="613" bestFit="1" customWidth="1"/>
    <col min="11011" max="11012" width="19" style="613" customWidth="1"/>
    <col min="11013" max="11013" width="18.28515625" style="613" customWidth="1"/>
    <col min="11014" max="11264" width="9.140625" style="613"/>
    <col min="11265" max="11265" width="6" style="613" customWidth="1"/>
    <col min="11266" max="11266" width="23.85546875" style="613" bestFit="1" customWidth="1"/>
    <col min="11267" max="11268" width="19" style="613" customWidth="1"/>
    <col min="11269" max="11269" width="18.28515625" style="613" customWidth="1"/>
    <col min="11270" max="11520" width="9.140625" style="613"/>
    <col min="11521" max="11521" width="6" style="613" customWidth="1"/>
    <col min="11522" max="11522" width="23.85546875" style="613" bestFit="1" customWidth="1"/>
    <col min="11523" max="11524" width="19" style="613" customWidth="1"/>
    <col min="11525" max="11525" width="18.28515625" style="613" customWidth="1"/>
    <col min="11526" max="11776" width="9.140625" style="613"/>
    <col min="11777" max="11777" width="6" style="613" customWidth="1"/>
    <col min="11778" max="11778" width="23.85546875" style="613" bestFit="1" customWidth="1"/>
    <col min="11779" max="11780" width="19" style="613" customWidth="1"/>
    <col min="11781" max="11781" width="18.28515625" style="613" customWidth="1"/>
    <col min="11782" max="12032" width="9.140625" style="613"/>
    <col min="12033" max="12033" width="6" style="613" customWidth="1"/>
    <col min="12034" max="12034" width="23.85546875" style="613" bestFit="1" customWidth="1"/>
    <col min="12035" max="12036" width="19" style="613" customWidth="1"/>
    <col min="12037" max="12037" width="18.28515625" style="613" customWidth="1"/>
    <col min="12038" max="12288" width="9.140625" style="613"/>
    <col min="12289" max="12289" width="6" style="613" customWidth="1"/>
    <col min="12290" max="12290" width="23.85546875" style="613" bestFit="1" customWidth="1"/>
    <col min="12291" max="12292" width="19" style="613" customWidth="1"/>
    <col min="12293" max="12293" width="18.28515625" style="613" customWidth="1"/>
    <col min="12294" max="12544" width="9.140625" style="613"/>
    <col min="12545" max="12545" width="6" style="613" customWidth="1"/>
    <col min="12546" max="12546" width="23.85546875" style="613" bestFit="1" customWidth="1"/>
    <col min="12547" max="12548" width="19" style="613" customWidth="1"/>
    <col min="12549" max="12549" width="18.28515625" style="613" customWidth="1"/>
    <col min="12550" max="12800" width="9.140625" style="613"/>
    <col min="12801" max="12801" width="6" style="613" customWidth="1"/>
    <col min="12802" max="12802" width="23.85546875" style="613" bestFit="1" customWidth="1"/>
    <col min="12803" max="12804" width="19" style="613" customWidth="1"/>
    <col min="12805" max="12805" width="18.28515625" style="613" customWidth="1"/>
    <col min="12806" max="13056" width="9.140625" style="613"/>
    <col min="13057" max="13057" width="6" style="613" customWidth="1"/>
    <col min="13058" max="13058" width="23.85546875" style="613" bestFit="1" customWidth="1"/>
    <col min="13059" max="13060" width="19" style="613" customWidth="1"/>
    <col min="13061" max="13061" width="18.28515625" style="613" customWidth="1"/>
    <col min="13062" max="13312" width="9.140625" style="613"/>
    <col min="13313" max="13313" width="6" style="613" customWidth="1"/>
    <col min="13314" max="13314" width="23.85546875" style="613" bestFit="1" customWidth="1"/>
    <col min="13315" max="13316" width="19" style="613" customWidth="1"/>
    <col min="13317" max="13317" width="18.28515625" style="613" customWidth="1"/>
    <col min="13318" max="13568" width="9.140625" style="613"/>
    <col min="13569" max="13569" width="6" style="613" customWidth="1"/>
    <col min="13570" max="13570" width="23.85546875" style="613" bestFit="1" customWidth="1"/>
    <col min="13571" max="13572" width="19" style="613" customWidth="1"/>
    <col min="13573" max="13573" width="18.28515625" style="613" customWidth="1"/>
    <col min="13574" max="13824" width="9.140625" style="613"/>
    <col min="13825" max="13825" width="6" style="613" customWidth="1"/>
    <col min="13826" max="13826" width="23.85546875" style="613" bestFit="1" customWidth="1"/>
    <col min="13827" max="13828" width="19" style="613" customWidth="1"/>
    <col min="13829" max="13829" width="18.28515625" style="613" customWidth="1"/>
    <col min="13830" max="14080" width="9.140625" style="613"/>
    <col min="14081" max="14081" width="6" style="613" customWidth="1"/>
    <col min="14082" max="14082" width="23.85546875" style="613" bestFit="1" customWidth="1"/>
    <col min="14083" max="14084" width="19" style="613" customWidth="1"/>
    <col min="14085" max="14085" width="18.28515625" style="613" customWidth="1"/>
    <col min="14086" max="14336" width="9.140625" style="613"/>
    <col min="14337" max="14337" width="6" style="613" customWidth="1"/>
    <col min="14338" max="14338" width="23.85546875" style="613" bestFit="1" customWidth="1"/>
    <col min="14339" max="14340" width="19" style="613" customWidth="1"/>
    <col min="14341" max="14341" width="18.28515625" style="613" customWidth="1"/>
    <col min="14342" max="14592" width="9.140625" style="613"/>
    <col min="14593" max="14593" width="6" style="613" customWidth="1"/>
    <col min="14594" max="14594" width="23.85546875" style="613" bestFit="1" customWidth="1"/>
    <col min="14595" max="14596" width="19" style="613" customWidth="1"/>
    <col min="14597" max="14597" width="18.28515625" style="613" customWidth="1"/>
    <col min="14598" max="14848" width="9.140625" style="613"/>
    <col min="14849" max="14849" width="6" style="613" customWidth="1"/>
    <col min="14850" max="14850" width="23.85546875" style="613" bestFit="1" customWidth="1"/>
    <col min="14851" max="14852" width="19" style="613" customWidth="1"/>
    <col min="14853" max="14853" width="18.28515625" style="613" customWidth="1"/>
    <col min="14854" max="15104" width="9.140625" style="613"/>
    <col min="15105" max="15105" width="6" style="613" customWidth="1"/>
    <col min="15106" max="15106" width="23.85546875" style="613" bestFit="1" customWidth="1"/>
    <col min="15107" max="15108" width="19" style="613" customWidth="1"/>
    <col min="15109" max="15109" width="18.28515625" style="613" customWidth="1"/>
    <col min="15110" max="15360" width="9.140625" style="613"/>
    <col min="15361" max="15361" width="6" style="613" customWidth="1"/>
    <col min="15362" max="15362" width="23.85546875" style="613" bestFit="1" customWidth="1"/>
    <col min="15363" max="15364" width="19" style="613" customWidth="1"/>
    <col min="15365" max="15365" width="18.28515625" style="613" customWidth="1"/>
    <col min="15366" max="15616" width="9.140625" style="613"/>
    <col min="15617" max="15617" width="6" style="613" customWidth="1"/>
    <col min="15618" max="15618" width="23.85546875" style="613" bestFit="1" customWidth="1"/>
    <col min="15619" max="15620" width="19" style="613" customWidth="1"/>
    <col min="15621" max="15621" width="18.28515625" style="613" customWidth="1"/>
    <col min="15622" max="15872" width="9.140625" style="613"/>
    <col min="15873" max="15873" width="6" style="613" customWidth="1"/>
    <col min="15874" max="15874" width="23.85546875" style="613" bestFit="1" customWidth="1"/>
    <col min="15875" max="15876" width="19" style="613" customWidth="1"/>
    <col min="15877" max="15877" width="18.28515625" style="613" customWidth="1"/>
    <col min="15878" max="16128" width="9.140625" style="613"/>
    <col min="16129" max="16129" width="6" style="613" customWidth="1"/>
    <col min="16130" max="16130" width="23.85546875" style="613" bestFit="1" customWidth="1"/>
    <col min="16131" max="16132" width="19" style="613" customWidth="1"/>
    <col min="16133" max="16133" width="18.28515625" style="613" customWidth="1"/>
    <col min="16134" max="16384" width="9.140625" style="613"/>
  </cols>
  <sheetData>
    <row r="1" spans="1:5" ht="15.75" x14ac:dyDescent="0.25">
      <c r="A1" s="1258" t="s">
        <v>1095</v>
      </c>
      <c r="B1" s="1258"/>
      <c r="C1" s="1258"/>
      <c r="D1" s="1258"/>
      <c r="E1" s="1258"/>
    </row>
    <row r="3" spans="1:5" s="615" customFormat="1" ht="25.5" x14ac:dyDescent="0.2">
      <c r="A3" s="614" t="s">
        <v>2</v>
      </c>
      <c r="B3" s="614" t="s">
        <v>111</v>
      </c>
      <c r="C3" s="614" t="s">
        <v>1096</v>
      </c>
      <c r="D3" s="614" t="s">
        <v>1097</v>
      </c>
      <c r="E3" s="614" t="s">
        <v>1098</v>
      </c>
    </row>
    <row r="4" spans="1:5" s="617" customFormat="1" x14ac:dyDescent="0.2">
      <c r="A4" s="616">
        <v>1</v>
      </c>
      <c r="B4" s="1255" t="s">
        <v>1099</v>
      </c>
      <c r="C4" s="1255"/>
      <c r="D4" s="1255"/>
      <c r="E4" s="1255"/>
    </row>
    <row r="5" spans="1:5" x14ac:dyDescent="0.2">
      <c r="A5" s="616">
        <v>1.1000000000000001</v>
      </c>
      <c r="B5" s="618" t="s">
        <v>26</v>
      </c>
      <c r="C5" s="509">
        <v>21690</v>
      </c>
      <c r="D5" s="509">
        <v>21690</v>
      </c>
      <c r="E5" s="509">
        <v>21614</v>
      </c>
    </row>
    <row r="6" spans="1:5" x14ac:dyDescent="0.2">
      <c r="A6" s="616">
        <v>1.2</v>
      </c>
      <c r="B6" s="618" t="s">
        <v>27</v>
      </c>
      <c r="C6" s="509">
        <v>13935</v>
      </c>
      <c r="D6" s="509">
        <v>13935</v>
      </c>
      <c r="E6" s="509">
        <v>13912</v>
      </c>
    </row>
    <row r="7" spans="1:5" x14ac:dyDescent="0.2">
      <c r="A7" s="616">
        <v>1.3</v>
      </c>
      <c r="B7" s="618" t="s">
        <v>1024</v>
      </c>
      <c r="C7" s="509">
        <v>148</v>
      </c>
      <c r="D7" s="509">
        <v>148</v>
      </c>
      <c r="E7" s="509">
        <v>90</v>
      </c>
    </row>
    <row r="8" spans="1:5" s="617" customFormat="1" x14ac:dyDescent="0.2">
      <c r="A8" s="1259" t="s">
        <v>18</v>
      </c>
      <c r="B8" s="1260"/>
      <c r="C8" s="619">
        <f>SUM(C5:C7)</f>
        <v>35773</v>
      </c>
      <c r="D8" s="619">
        <f>SUM(D5:D7)</f>
        <v>35773</v>
      </c>
      <c r="E8" s="619">
        <f>SUM(E5:E7)</f>
        <v>35616</v>
      </c>
    </row>
    <row r="9" spans="1:5" s="617" customFormat="1" x14ac:dyDescent="0.2">
      <c r="A9" s="616">
        <v>2</v>
      </c>
      <c r="B9" s="1255" t="s">
        <v>1100</v>
      </c>
      <c r="C9" s="1255"/>
      <c r="D9" s="1255"/>
      <c r="E9" s="1255"/>
    </row>
    <row r="10" spans="1:5" x14ac:dyDescent="0.2">
      <c r="A10" s="616">
        <v>2.1</v>
      </c>
      <c r="B10" s="618" t="s">
        <v>26</v>
      </c>
      <c r="C10" s="509">
        <v>2294782</v>
      </c>
      <c r="D10" s="509">
        <v>1839465</v>
      </c>
      <c r="E10" s="509">
        <v>2004010</v>
      </c>
    </row>
    <row r="11" spans="1:5" x14ac:dyDescent="0.2">
      <c r="A11" s="616">
        <v>2.2000000000000002</v>
      </c>
      <c r="B11" s="618" t="s">
        <v>27</v>
      </c>
      <c r="C11" s="509">
        <v>997048</v>
      </c>
      <c r="D11" s="509">
        <v>872861</v>
      </c>
      <c r="E11" s="509">
        <v>986374</v>
      </c>
    </row>
    <row r="12" spans="1:5" x14ac:dyDescent="0.2">
      <c r="A12" s="616">
        <v>2.2999999999999998</v>
      </c>
      <c r="B12" s="618" t="s">
        <v>1024</v>
      </c>
      <c r="C12" s="509">
        <v>3400</v>
      </c>
      <c r="D12" s="509">
        <v>2198</v>
      </c>
      <c r="E12" s="509">
        <v>3465</v>
      </c>
    </row>
    <row r="13" spans="1:5" s="617" customFormat="1" x14ac:dyDescent="0.2">
      <c r="A13" s="1259" t="s">
        <v>18</v>
      </c>
      <c r="B13" s="1260"/>
      <c r="C13" s="619">
        <f>SUM(C10:C12)</f>
        <v>3295230</v>
      </c>
      <c r="D13" s="619">
        <f>SUM(D10:D12)</f>
        <v>2714524</v>
      </c>
      <c r="E13" s="619">
        <f>SUM(E10:E12)</f>
        <v>2993849</v>
      </c>
    </row>
    <row r="14" spans="1:5" s="617" customFormat="1" x14ac:dyDescent="0.2">
      <c r="A14" s="616">
        <v>3</v>
      </c>
      <c r="B14" s="1255" t="s">
        <v>1101</v>
      </c>
      <c r="C14" s="1255"/>
      <c r="D14" s="1255"/>
      <c r="E14" s="1255"/>
    </row>
    <row r="15" spans="1:5" x14ac:dyDescent="0.2">
      <c r="A15" s="616">
        <v>3.1</v>
      </c>
      <c r="B15" s="618" t="s">
        <v>26</v>
      </c>
      <c r="C15" s="509">
        <v>254</v>
      </c>
      <c r="D15" s="509">
        <v>178</v>
      </c>
      <c r="E15" s="509">
        <v>253</v>
      </c>
    </row>
    <row r="16" spans="1:5" x14ac:dyDescent="0.2">
      <c r="A16" s="616">
        <v>3.2</v>
      </c>
      <c r="B16" s="618" t="s">
        <v>27</v>
      </c>
      <c r="C16" s="509">
        <v>254</v>
      </c>
      <c r="D16" s="509">
        <v>178</v>
      </c>
      <c r="E16" s="509">
        <v>253</v>
      </c>
    </row>
    <row r="17" spans="1:5" x14ac:dyDescent="0.2">
      <c r="A17" s="616">
        <v>3.3</v>
      </c>
      <c r="B17" s="618" t="s">
        <v>1024</v>
      </c>
      <c r="C17" s="509">
        <v>312</v>
      </c>
      <c r="D17" s="509">
        <v>234</v>
      </c>
      <c r="E17" s="509">
        <v>310</v>
      </c>
    </row>
    <row r="18" spans="1:5" s="617" customFormat="1" x14ac:dyDescent="0.2">
      <c r="A18" s="616">
        <v>4</v>
      </c>
      <c r="B18" s="1255" t="s">
        <v>1102</v>
      </c>
      <c r="C18" s="1255"/>
      <c r="D18" s="1255"/>
      <c r="E18" s="1255"/>
    </row>
    <row r="19" spans="1:5" x14ac:dyDescent="0.2">
      <c r="A19" s="616">
        <v>4.0999999999999996</v>
      </c>
      <c r="B19" s="618" t="s">
        <v>26</v>
      </c>
      <c r="C19" s="1256">
        <v>79591</v>
      </c>
      <c r="D19" s="1256">
        <v>79591</v>
      </c>
      <c r="E19" s="1256">
        <v>79591</v>
      </c>
    </row>
    <row r="20" spans="1:5" x14ac:dyDescent="0.2">
      <c r="A20" s="616">
        <v>4.2</v>
      </c>
      <c r="B20" s="618" t="s">
        <v>27</v>
      </c>
      <c r="C20" s="1257"/>
      <c r="D20" s="1257"/>
      <c r="E20" s="1257"/>
    </row>
    <row r="21" spans="1:5" s="617" customFormat="1" x14ac:dyDescent="0.2">
      <c r="A21" s="616">
        <v>5</v>
      </c>
      <c r="B21" s="1255" t="s">
        <v>1005</v>
      </c>
      <c r="C21" s="1255"/>
      <c r="D21" s="1255"/>
      <c r="E21" s="1255"/>
    </row>
    <row r="22" spans="1:5" x14ac:dyDescent="0.2">
      <c r="A22" s="616">
        <v>5.0999999999999996</v>
      </c>
      <c r="B22" s="618" t="s">
        <v>1103</v>
      </c>
      <c r="C22" s="509">
        <v>1701348</v>
      </c>
      <c r="D22" s="620" t="s">
        <v>1104</v>
      </c>
      <c r="E22" s="509">
        <v>0</v>
      </c>
    </row>
    <row r="23" spans="1:5" x14ac:dyDescent="0.2">
      <c r="A23" s="616">
        <v>5.2</v>
      </c>
      <c r="B23" s="618" t="s">
        <v>1105</v>
      </c>
      <c r="C23" s="509">
        <v>744254</v>
      </c>
      <c r="D23" s="620" t="s">
        <v>1104</v>
      </c>
      <c r="E23" s="509">
        <v>0</v>
      </c>
    </row>
    <row r="24" spans="1:5" x14ac:dyDescent="0.2">
      <c r="A24" s="616">
        <v>5.3</v>
      </c>
      <c r="B24" s="618" t="s">
        <v>1101</v>
      </c>
      <c r="C24" s="509">
        <v>25</v>
      </c>
      <c r="D24" s="620" t="s">
        <v>1104</v>
      </c>
      <c r="E24" s="509">
        <v>0</v>
      </c>
    </row>
    <row r="25" spans="1:5" s="617" customFormat="1" x14ac:dyDescent="0.2">
      <c r="A25" s="616">
        <v>6</v>
      </c>
      <c r="B25" s="1255" t="s">
        <v>1106</v>
      </c>
      <c r="C25" s="1255"/>
      <c r="D25" s="1255"/>
      <c r="E25" s="1255"/>
    </row>
    <row r="26" spans="1:5" x14ac:dyDescent="0.2">
      <c r="A26" s="616">
        <v>6.1</v>
      </c>
      <c r="B26" s="618" t="s">
        <v>1107</v>
      </c>
      <c r="C26" s="620">
        <v>1424</v>
      </c>
      <c r="D26" s="620" t="s">
        <v>1104</v>
      </c>
      <c r="E26" s="509">
        <v>0</v>
      </c>
    </row>
    <row r="27" spans="1:5" x14ac:dyDescent="0.2">
      <c r="A27" s="616">
        <v>6.2</v>
      </c>
      <c r="B27" s="618" t="s">
        <v>1108</v>
      </c>
      <c r="C27" s="620" t="s">
        <v>1104</v>
      </c>
      <c r="D27" s="620" t="s">
        <v>1104</v>
      </c>
      <c r="E27" s="509">
        <v>0</v>
      </c>
    </row>
    <row r="28" spans="1:5" ht="25.5" x14ac:dyDescent="0.2">
      <c r="A28" s="616">
        <v>6.3</v>
      </c>
      <c r="B28" s="621" t="s">
        <v>1014</v>
      </c>
      <c r="C28" s="620">
        <v>30497</v>
      </c>
      <c r="D28" s="622">
        <v>0</v>
      </c>
      <c r="E28" s="623">
        <v>30497</v>
      </c>
    </row>
    <row r="29" spans="1:5" x14ac:dyDescent="0.2">
      <c r="A29" s="616">
        <v>6.4</v>
      </c>
      <c r="B29" s="621" t="s">
        <v>1109</v>
      </c>
      <c r="C29" s="620">
        <v>12114</v>
      </c>
      <c r="D29" s="622">
        <v>0</v>
      </c>
      <c r="E29" s="623">
        <v>12114</v>
      </c>
    </row>
    <row r="30" spans="1:5" s="617" customFormat="1" x14ac:dyDescent="0.2">
      <c r="A30" s="616">
        <v>7</v>
      </c>
      <c r="B30" s="1255" t="s">
        <v>1110</v>
      </c>
      <c r="C30" s="1255"/>
      <c r="D30" s="1255"/>
      <c r="E30" s="1255"/>
    </row>
    <row r="31" spans="1:5" x14ac:dyDescent="0.2">
      <c r="A31" s="616">
        <v>7.1</v>
      </c>
      <c r="B31" s="618" t="s">
        <v>1111</v>
      </c>
      <c r="C31" s="620" t="s">
        <v>1112</v>
      </c>
      <c r="D31" s="624"/>
      <c r="E31" s="620" t="s">
        <v>1113</v>
      </c>
    </row>
    <row r="32" spans="1:5" x14ac:dyDescent="0.2">
      <c r="A32" s="616">
        <v>7.2</v>
      </c>
      <c r="B32" s="618" t="s">
        <v>1005</v>
      </c>
      <c r="C32" s="620" t="s">
        <v>1114</v>
      </c>
      <c r="D32" s="620" t="s">
        <v>1104</v>
      </c>
      <c r="E32" s="620" t="s">
        <v>1104</v>
      </c>
    </row>
    <row r="33" spans="1:5" x14ac:dyDescent="0.2">
      <c r="A33" s="616">
        <v>7.3</v>
      </c>
      <c r="B33" s="618" t="s">
        <v>1115</v>
      </c>
      <c r="C33" s="620" t="s">
        <v>1104</v>
      </c>
      <c r="D33" s="512"/>
      <c r="E33" s="625" t="s">
        <v>1116</v>
      </c>
    </row>
    <row r="34" spans="1:5" x14ac:dyDescent="0.2">
      <c r="A34" s="616">
        <v>7.4</v>
      </c>
      <c r="B34" s="618" t="s">
        <v>1117</v>
      </c>
      <c r="C34" s="620" t="s">
        <v>1104</v>
      </c>
      <c r="D34" s="620" t="s">
        <v>1104</v>
      </c>
      <c r="E34" s="625">
        <v>0</v>
      </c>
    </row>
    <row r="35" spans="1:5" ht="25.5" x14ac:dyDescent="0.2">
      <c r="A35" s="616">
        <v>7.5</v>
      </c>
      <c r="B35" s="621" t="s">
        <v>1014</v>
      </c>
      <c r="C35" s="620" t="s">
        <v>1104</v>
      </c>
      <c r="D35" s="620">
        <v>0</v>
      </c>
      <c r="E35" s="626" t="s">
        <v>1118</v>
      </c>
    </row>
    <row r="36" spans="1:5" s="617" customFormat="1" x14ac:dyDescent="0.2">
      <c r="A36" s="616">
        <v>7.6</v>
      </c>
      <c r="B36" s="619" t="s">
        <v>37</v>
      </c>
      <c r="C36" s="620" t="s">
        <v>1119</v>
      </c>
      <c r="D36" s="627">
        <f>D35</f>
        <v>0</v>
      </c>
      <c r="E36" s="627" t="s">
        <v>1120</v>
      </c>
    </row>
  </sheetData>
  <mergeCells count="13">
    <mergeCell ref="B14:E14"/>
    <mergeCell ref="A1:E1"/>
    <mergeCell ref="B4:E4"/>
    <mergeCell ref="A8:B8"/>
    <mergeCell ref="B9:E9"/>
    <mergeCell ref="A13:B13"/>
    <mergeCell ref="B30:E30"/>
    <mergeCell ref="B18:E18"/>
    <mergeCell ref="C19:C20"/>
    <mergeCell ref="D19:D20"/>
    <mergeCell ref="E19:E20"/>
    <mergeCell ref="B21:E21"/>
    <mergeCell ref="B25:E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2"/>
  <sheetViews>
    <sheetView topLeftCell="A13" zoomScaleNormal="100" zoomScaleSheetLayoutView="100" workbookViewId="0">
      <selection activeCell="G33" sqref="G33"/>
    </sheetView>
  </sheetViews>
  <sheetFormatPr defaultRowHeight="12.75" x14ac:dyDescent="0.2"/>
  <cols>
    <col min="1" max="1" width="8.28515625" customWidth="1"/>
    <col min="2" max="2" width="16.5703125" bestFit="1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3.7109375" customWidth="1"/>
  </cols>
  <sheetData>
    <row r="1" spans="1:8" ht="18" x14ac:dyDescent="0.35">
      <c r="A1" s="918" t="s">
        <v>0</v>
      </c>
      <c r="B1" s="918"/>
      <c r="C1" s="918"/>
      <c r="D1" s="918"/>
      <c r="E1" s="918"/>
      <c r="F1" s="918"/>
      <c r="G1" s="918"/>
      <c r="H1" s="170" t="s">
        <v>248</v>
      </c>
    </row>
    <row r="2" spans="1:8" ht="21" x14ac:dyDescent="0.35">
      <c r="A2" s="919" t="s">
        <v>740</v>
      </c>
      <c r="B2" s="919"/>
      <c r="C2" s="919"/>
      <c r="D2" s="919"/>
      <c r="E2" s="919"/>
      <c r="F2" s="919"/>
      <c r="G2" s="919"/>
      <c r="H2" s="919"/>
    </row>
    <row r="3" spans="1:8" ht="15" x14ac:dyDescent="0.3">
      <c r="A3" s="171"/>
      <c r="B3" s="171"/>
    </row>
    <row r="4" spans="1:8" ht="18" customHeight="1" x14ac:dyDescent="0.35">
      <c r="A4" s="920" t="s">
        <v>792</v>
      </c>
      <c r="B4" s="920"/>
      <c r="C4" s="920"/>
      <c r="D4" s="920"/>
      <c r="E4" s="920"/>
      <c r="F4" s="920"/>
      <c r="G4" s="920"/>
      <c r="H4" s="920"/>
    </row>
    <row r="5" spans="1:8" ht="18" x14ac:dyDescent="0.35">
      <c r="A5" s="279" t="s">
        <v>920</v>
      </c>
      <c r="B5" s="279"/>
    </row>
    <row r="6" spans="1:8" ht="15" x14ac:dyDescent="0.3">
      <c r="A6" s="172"/>
      <c r="B6" s="172"/>
      <c r="G6" s="921" t="s">
        <v>830</v>
      </c>
      <c r="H6" s="921"/>
    </row>
    <row r="7" spans="1:8" ht="59.25" customHeight="1" x14ac:dyDescent="0.2">
      <c r="A7" s="241" t="s">
        <v>2</v>
      </c>
      <c r="B7" s="241" t="s">
        <v>3</v>
      </c>
      <c r="C7" s="174" t="s">
        <v>250</v>
      </c>
      <c r="D7" s="174" t="s">
        <v>251</v>
      </c>
      <c r="E7" s="174" t="s">
        <v>252</v>
      </c>
      <c r="F7" s="174" t="s">
        <v>253</v>
      </c>
      <c r="G7" s="174" t="s">
        <v>254</v>
      </c>
      <c r="H7" s="174" t="s">
        <v>255</v>
      </c>
    </row>
    <row r="8" spans="1:8" s="170" customFormat="1" ht="15" x14ac:dyDescent="0.25">
      <c r="A8" s="175" t="s">
        <v>256</v>
      </c>
      <c r="B8" s="175" t="s">
        <v>257</v>
      </c>
      <c r="C8" s="175" t="s">
        <v>258</v>
      </c>
      <c r="D8" s="175" t="s">
        <v>259</v>
      </c>
      <c r="E8" s="175" t="s">
        <v>260</v>
      </c>
      <c r="F8" s="175" t="s">
        <v>261</v>
      </c>
      <c r="G8" s="175" t="s">
        <v>262</v>
      </c>
      <c r="H8" s="175" t="s">
        <v>263</v>
      </c>
    </row>
    <row r="9" spans="1:8" ht="14.25" x14ac:dyDescent="0.2">
      <c r="A9" s="50">
        <v>1</v>
      </c>
      <c r="B9" s="271" t="s">
        <v>896</v>
      </c>
      <c r="C9" s="176">
        <f>'AT3A_cvrg(Insti)_PY'!G12</f>
        <v>1332</v>
      </c>
      <c r="D9" s="176">
        <f>'AT3C_cvrg(Insti)_UPY '!G11</f>
        <v>50</v>
      </c>
      <c r="E9" s="176">
        <f>'AT3B_cvrg(Insti)_UPY '!G11</f>
        <v>795</v>
      </c>
      <c r="F9" s="176">
        <f>SUM(C9:E9)</f>
        <v>2177</v>
      </c>
      <c r="G9" s="176">
        <f>'AT3A_cvrg(Insti)_PY'!L12+'AT3B_cvrg(Insti)_UPY '!L11+'AT3C_cvrg(Insti)_UPY '!L11</f>
        <v>2177</v>
      </c>
      <c r="H9" s="9">
        <f>F9-G9</f>
        <v>0</v>
      </c>
    </row>
    <row r="10" spans="1:8" ht="14.25" x14ac:dyDescent="0.2">
      <c r="A10" s="50">
        <v>2</v>
      </c>
      <c r="B10" s="271" t="s">
        <v>897</v>
      </c>
      <c r="C10" s="176">
        <f>'AT3A_cvrg(Insti)_PY'!G13</f>
        <v>549</v>
      </c>
      <c r="D10" s="176">
        <f>'AT3C_cvrg(Insti)_UPY '!G12</f>
        <v>19</v>
      </c>
      <c r="E10" s="176">
        <f>'AT3B_cvrg(Insti)_UPY '!G12</f>
        <v>300</v>
      </c>
      <c r="F10" s="176">
        <f t="shared" ref="F10:F32" si="0">SUM(C10:E10)</f>
        <v>868</v>
      </c>
      <c r="G10" s="176">
        <f>'AT3A_cvrg(Insti)_PY'!L13+'AT3B_cvrg(Insti)_UPY '!L12+'AT3C_cvrg(Insti)_UPY '!L12</f>
        <v>868</v>
      </c>
      <c r="H10" s="9">
        <f t="shared" ref="H10:H32" si="1">F10-G10</f>
        <v>0</v>
      </c>
    </row>
    <row r="11" spans="1:8" ht="14.25" x14ac:dyDescent="0.2">
      <c r="A11" s="50">
        <v>3</v>
      </c>
      <c r="B11" s="271" t="s">
        <v>898</v>
      </c>
      <c r="C11" s="176">
        <f>'AT3A_cvrg(Insti)_PY'!G14</f>
        <v>290</v>
      </c>
      <c r="D11" s="176">
        <f>'AT3C_cvrg(Insti)_UPY '!G13</f>
        <v>6</v>
      </c>
      <c r="E11" s="176">
        <f>'AT3B_cvrg(Insti)_UPY '!G13</f>
        <v>195</v>
      </c>
      <c r="F11" s="176">
        <f t="shared" si="0"/>
        <v>491</v>
      </c>
      <c r="G11" s="176">
        <f>'AT3A_cvrg(Insti)_PY'!L14+'AT3B_cvrg(Insti)_UPY '!L13+'AT3C_cvrg(Insti)_UPY '!L13</f>
        <v>491</v>
      </c>
      <c r="H11" s="9">
        <f t="shared" si="1"/>
        <v>0</v>
      </c>
    </row>
    <row r="12" spans="1:8" ht="14.25" x14ac:dyDescent="0.2">
      <c r="A12" s="50">
        <v>4</v>
      </c>
      <c r="B12" s="271" t="s">
        <v>899</v>
      </c>
      <c r="C12" s="176">
        <f>'AT3A_cvrg(Insti)_PY'!G15</f>
        <v>919</v>
      </c>
      <c r="D12" s="176">
        <f>'AT3C_cvrg(Insti)_UPY '!G14</f>
        <v>37</v>
      </c>
      <c r="E12" s="176">
        <f>'AT3B_cvrg(Insti)_UPY '!G14</f>
        <v>563</v>
      </c>
      <c r="F12" s="176">
        <f t="shared" si="0"/>
        <v>1519</v>
      </c>
      <c r="G12" s="176">
        <f>'AT3A_cvrg(Insti)_PY'!L15+'AT3B_cvrg(Insti)_UPY '!L14+'AT3C_cvrg(Insti)_UPY '!L14</f>
        <v>1519</v>
      </c>
      <c r="H12" s="9">
        <f t="shared" si="1"/>
        <v>0</v>
      </c>
    </row>
    <row r="13" spans="1:8" ht="14.25" x14ac:dyDescent="0.2">
      <c r="A13" s="50">
        <v>5</v>
      </c>
      <c r="B13" s="271" t="s">
        <v>900</v>
      </c>
      <c r="C13" s="176">
        <f>'AT3A_cvrg(Insti)_PY'!G16</f>
        <v>586</v>
      </c>
      <c r="D13" s="176">
        <f>'AT3C_cvrg(Insti)_UPY '!G15</f>
        <v>38</v>
      </c>
      <c r="E13" s="176">
        <f>'AT3B_cvrg(Insti)_UPY '!G15</f>
        <v>344</v>
      </c>
      <c r="F13" s="176">
        <f t="shared" si="0"/>
        <v>968</v>
      </c>
      <c r="G13" s="176">
        <f>'AT3A_cvrg(Insti)_PY'!L16+'AT3B_cvrg(Insti)_UPY '!L15+'AT3C_cvrg(Insti)_UPY '!L15</f>
        <v>968</v>
      </c>
      <c r="H13" s="9">
        <f t="shared" si="1"/>
        <v>0</v>
      </c>
    </row>
    <row r="14" spans="1:8" ht="14.25" x14ac:dyDescent="0.2">
      <c r="A14" s="50">
        <v>6</v>
      </c>
      <c r="B14" s="271" t="s">
        <v>901</v>
      </c>
      <c r="C14" s="176">
        <f>'AT3A_cvrg(Insti)_PY'!G17</f>
        <v>966</v>
      </c>
      <c r="D14" s="176">
        <f>'AT3C_cvrg(Insti)_UPY '!G16</f>
        <v>29</v>
      </c>
      <c r="E14" s="176">
        <f>'AT3B_cvrg(Insti)_UPY '!G16</f>
        <v>625</v>
      </c>
      <c r="F14" s="176">
        <f t="shared" si="0"/>
        <v>1620</v>
      </c>
      <c r="G14" s="176">
        <f>'AT3A_cvrg(Insti)_PY'!L17+'AT3B_cvrg(Insti)_UPY '!L16+'AT3C_cvrg(Insti)_UPY '!L16</f>
        <v>1620</v>
      </c>
      <c r="H14" s="9">
        <f t="shared" si="1"/>
        <v>0</v>
      </c>
    </row>
    <row r="15" spans="1:8" ht="14.25" x14ac:dyDescent="0.2">
      <c r="A15" s="50">
        <v>7</v>
      </c>
      <c r="B15" s="271" t="s">
        <v>902</v>
      </c>
      <c r="C15" s="176">
        <f>'AT3A_cvrg(Insti)_PY'!G18</f>
        <v>821</v>
      </c>
      <c r="D15" s="176">
        <f>'AT3C_cvrg(Insti)_UPY '!G17</f>
        <v>9</v>
      </c>
      <c r="E15" s="176">
        <f>'AT3B_cvrg(Insti)_UPY '!G17</f>
        <v>551</v>
      </c>
      <c r="F15" s="176">
        <f t="shared" si="0"/>
        <v>1381</v>
      </c>
      <c r="G15" s="176">
        <f>'AT3A_cvrg(Insti)_PY'!L18+'AT3B_cvrg(Insti)_UPY '!L17+'AT3C_cvrg(Insti)_UPY '!L17</f>
        <v>1381</v>
      </c>
      <c r="H15" s="9">
        <f t="shared" si="1"/>
        <v>0</v>
      </c>
    </row>
    <row r="16" spans="1:8" ht="14.25" x14ac:dyDescent="0.2">
      <c r="A16" s="50">
        <v>8</v>
      </c>
      <c r="B16" s="271" t="s">
        <v>903</v>
      </c>
      <c r="C16" s="176">
        <f>'AT3A_cvrg(Insti)_PY'!G19</f>
        <v>1379</v>
      </c>
      <c r="D16" s="176">
        <f>'AT3C_cvrg(Insti)_UPY '!G18</f>
        <v>19</v>
      </c>
      <c r="E16" s="176">
        <f>'AT3B_cvrg(Insti)_UPY '!G18</f>
        <v>668</v>
      </c>
      <c r="F16" s="176">
        <f t="shared" si="0"/>
        <v>2066</v>
      </c>
      <c r="G16" s="176">
        <f>'AT3A_cvrg(Insti)_PY'!L19+'AT3B_cvrg(Insti)_UPY '!L18+'AT3C_cvrg(Insti)_UPY '!L18</f>
        <v>2066</v>
      </c>
      <c r="H16" s="9">
        <f t="shared" si="1"/>
        <v>0</v>
      </c>
    </row>
    <row r="17" spans="1:15" ht="14.25" x14ac:dyDescent="0.2">
      <c r="A17" s="50">
        <v>9</v>
      </c>
      <c r="B17" s="271" t="s">
        <v>904</v>
      </c>
      <c r="C17" s="176">
        <f>'AT3A_cvrg(Insti)_PY'!G20</f>
        <v>1203</v>
      </c>
      <c r="D17" s="176">
        <f>'AT3C_cvrg(Insti)_UPY '!G19</f>
        <v>3</v>
      </c>
      <c r="E17" s="176">
        <f>'AT3B_cvrg(Insti)_UPY '!G19</f>
        <v>1293</v>
      </c>
      <c r="F17" s="176">
        <f t="shared" si="0"/>
        <v>2499</v>
      </c>
      <c r="G17" s="176">
        <f>'AT3A_cvrg(Insti)_PY'!L20+'AT3B_cvrg(Insti)_UPY '!L19+'AT3C_cvrg(Insti)_UPY '!L19</f>
        <v>2499</v>
      </c>
      <c r="H17" s="9">
        <f t="shared" si="1"/>
        <v>0</v>
      </c>
    </row>
    <row r="18" spans="1:15" ht="14.25" x14ac:dyDescent="0.2">
      <c r="A18" s="50">
        <v>10</v>
      </c>
      <c r="B18" s="271" t="s">
        <v>905</v>
      </c>
      <c r="C18" s="176">
        <f>'AT3A_cvrg(Insti)_PY'!G21</f>
        <v>632</v>
      </c>
      <c r="D18" s="176">
        <f>'AT3C_cvrg(Insti)_UPY '!G20</f>
        <v>5</v>
      </c>
      <c r="E18" s="176">
        <f>'AT3B_cvrg(Insti)_UPY '!G20</f>
        <v>400</v>
      </c>
      <c r="F18" s="176">
        <f t="shared" si="0"/>
        <v>1037</v>
      </c>
      <c r="G18" s="176">
        <f>'AT3A_cvrg(Insti)_PY'!L21+'AT3B_cvrg(Insti)_UPY '!L20+'AT3C_cvrg(Insti)_UPY '!L20</f>
        <v>1037</v>
      </c>
      <c r="H18" s="9">
        <f t="shared" si="1"/>
        <v>0</v>
      </c>
    </row>
    <row r="19" spans="1:15" ht="14.25" x14ac:dyDescent="0.2">
      <c r="A19" s="50">
        <v>11</v>
      </c>
      <c r="B19" s="271" t="s">
        <v>906</v>
      </c>
      <c r="C19" s="176">
        <f>'AT3A_cvrg(Insti)_PY'!G22</f>
        <v>980</v>
      </c>
      <c r="D19" s="176">
        <f>'AT3C_cvrg(Insti)_UPY '!G21</f>
        <v>0</v>
      </c>
      <c r="E19" s="176">
        <f>'AT3B_cvrg(Insti)_UPY '!G21</f>
        <v>440</v>
      </c>
      <c r="F19" s="176">
        <f t="shared" si="0"/>
        <v>1420</v>
      </c>
      <c r="G19" s="176">
        <f>'AT3A_cvrg(Insti)_PY'!L22+'AT3B_cvrg(Insti)_UPY '!L21+'AT3C_cvrg(Insti)_UPY '!L21</f>
        <v>1420</v>
      </c>
      <c r="H19" s="9">
        <f t="shared" si="1"/>
        <v>0</v>
      </c>
    </row>
    <row r="20" spans="1:15" ht="14.25" x14ac:dyDescent="0.2">
      <c r="A20" s="50">
        <v>12</v>
      </c>
      <c r="B20" s="271" t="s">
        <v>907</v>
      </c>
      <c r="C20" s="176">
        <f>'AT3A_cvrg(Insti)_PY'!G23</f>
        <v>899</v>
      </c>
      <c r="D20" s="176">
        <f>'AT3C_cvrg(Insti)_UPY '!G22</f>
        <v>10</v>
      </c>
      <c r="E20" s="176">
        <f>'AT3B_cvrg(Insti)_UPY '!G22</f>
        <v>570</v>
      </c>
      <c r="F20" s="176">
        <f t="shared" si="0"/>
        <v>1479</v>
      </c>
      <c r="G20" s="176">
        <f>'AT3A_cvrg(Insti)_PY'!L23+'AT3B_cvrg(Insti)_UPY '!L22+'AT3C_cvrg(Insti)_UPY '!L22</f>
        <v>1479</v>
      </c>
      <c r="H20" s="9">
        <f t="shared" si="1"/>
        <v>0</v>
      </c>
    </row>
    <row r="21" spans="1:15" ht="14.25" x14ac:dyDescent="0.2">
      <c r="A21" s="50">
        <v>13</v>
      </c>
      <c r="B21" s="271" t="s">
        <v>908</v>
      </c>
      <c r="C21" s="176">
        <f>'AT3A_cvrg(Insti)_PY'!G24</f>
        <v>347</v>
      </c>
      <c r="D21" s="176">
        <f>'AT3C_cvrg(Insti)_UPY '!G23</f>
        <v>0</v>
      </c>
      <c r="E21" s="176">
        <f>'AT3B_cvrg(Insti)_UPY '!G23</f>
        <v>240</v>
      </c>
      <c r="F21" s="176">
        <f t="shared" si="0"/>
        <v>587</v>
      </c>
      <c r="G21" s="176">
        <f>'AT3A_cvrg(Insti)_PY'!L24+'AT3B_cvrg(Insti)_UPY '!L23+'AT3C_cvrg(Insti)_UPY '!L23</f>
        <v>587</v>
      </c>
      <c r="H21" s="9">
        <f t="shared" si="1"/>
        <v>0</v>
      </c>
      <c r="M21" s="378"/>
      <c r="N21" s="378"/>
      <c r="O21" s="378"/>
    </row>
    <row r="22" spans="1:15" ht="14.25" x14ac:dyDescent="0.2">
      <c r="A22" s="50">
        <v>14</v>
      </c>
      <c r="B22" s="271" t="s">
        <v>909</v>
      </c>
      <c r="C22" s="176">
        <f>'AT3A_cvrg(Insti)_PY'!G25</f>
        <v>363</v>
      </c>
      <c r="D22" s="176">
        <f>'AT3C_cvrg(Insti)_UPY '!G24</f>
        <v>0</v>
      </c>
      <c r="E22" s="176">
        <f>'AT3B_cvrg(Insti)_UPY '!G24</f>
        <v>296</v>
      </c>
      <c r="F22" s="176">
        <f t="shared" si="0"/>
        <v>659</v>
      </c>
      <c r="G22" s="176">
        <f>'AT3A_cvrg(Insti)_PY'!L25+'AT3B_cvrg(Insti)_UPY '!L24+'AT3C_cvrg(Insti)_UPY '!L24</f>
        <v>659</v>
      </c>
      <c r="H22" s="9">
        <f t="shared" si="1"/>
        <v>0</v>
      </c>
    </row>
    <row r="23" spans="1:15" ht="14.25" x14ac:dyDescent="0.2">
      <c r="A23" s="50">
        <v>15</v>
      </c>
      <c r="B23" s="271" t="s">
        <v>910</v>
      </c>
      <c r="C23" s="176">
        <f>'AT3A_cvrg(Insti)_PY'!G26</f>
        <v>895</v>
      </c>
      <c r="D23" s="176">
        <f>'AT3C_cvrg(Insti)_UPY '!G25</f>
        <v>2</v>
      </c>
      <c r="E23" s="176">
        <f>'AT3B_cvrg(Insti)_UPY '!G25</f>
        <v>642</v>
      </c>
      <c r="F23" s="176">
        <f t="shared" si="0"/>
        <v>1539</v>
      </c>
      <c r="G23" s="176">
        <f>'AT3A_cvrg(Insti)_PY'!L26+'AT3B_cvrg(Insti)_UPY '!L25+'AT3C_cvrg(Insti)_UPY '!L25</f>
        <v>1539</v>
      </c>
      <c r="H23" s="9">
        <f t="shared" si="1"/>
        <v>0</v>
      </c>
    </row>
    <row r="24" spans="1:15" ht="14.25" x14ac:dyDescent="0.2">
      <c r="A24" s="50">
        <v>16</v>
      </c>
      <c r="B24" s="271" t="s">
        <v>911</v>
      </c>
      <c r="C24" s="176">
        <f>'AT3A_cvrg(Insti)_PY'!G27</f>
        <v>1888</v>
      </c>
      <c r="D24" s="176">
        <f>'AT3C_cvrg(Insti)_UPY '!G26</f>
        <v>14</v>
      </c>
      <c r="E24" s="176">
        <f>'AT3B_cvrg(Insti)_UPY '!G26</f>
        <v>1234</v>
      </c>
      <c r="F24" s="176">
        <f t="shared" si="0"/>
        <v>3136</v>
      </c>
      <c r="G24" s="176">
        <f>'AT3A_cvrg(Insti)_PY'!L27+'AT3B_cvrg(Insti)_UPY '!L26+'AT3C_cvrg(Insti)_UPY '!L26</f>
        <v>3136</v>
      </c>
      <c r="H24" s="9">
        <f t="shared" si="1"/>
        <v>0</v>
      </c>
    </row>
    <row r="25" spans="1:15" ht="14.25" x14ac:dyDescent="0.2">
      <c r="A25" s="50">
        <v>17</v>
      </c>
      <c r="B25" s="271" t="s">
        <v>912</v>
      </c>
      <c r="C25" s="176">
        <f>'AT3A_cvrg(Insti)_PY'!G28</f>
        <v>1091</v>
      </c>
      <c r="D25" s="176">
        <f>'AT3C_cvrg(Insti)_UPY '!G27</f>
        <v>2</v>
      </c>
      <c r="E25" s="176">
        <f>'AT3B_cvrg(Insti)_UPY '!G27</f>
        <v>601</v>
      </c>
      <c r="F25" s="176">
        <f t="shared" si="0"/>
        <v>1694</v>
      </c>
      <c r="G25" s="176">
        <f>'AT3A_cvrg(Insti)_PY'!L28+'AT3B_cvrg(Insti)_UPY '!L27+'AT3C_cvrg(Insti)_UPY '!L27</f>
        <v>1694</v>
      </c>
      <c r="H25" s="9">
        <f t="shared" si="1"/>
        <v>0</v>
      </c>
    </row>
    <row r="26" spans="1:15" ht="14.25" x14ac:dyDescent="0.2">
      <c r="A26" s="50">
        <v>18</v>
      </c>
      <c r="B26" s="271" t="s">
        <v>913</v>
      </c>
      <c r="C26" s="176">
        <f>'AT3A_cvrg(Insti)_PY'!G29</f>
        <v>990</v>
      </c>
      <c r="D26" s="176">
        <f>'AT3C_cvrg(Insti)_UPY '!G28</f>
        <v>2</v>
      </c>
      <c r="E26" s="176">
        <f>'AT3B_cvrg(Insti)_UPY '!G28</f>
        <v>530</v>
      </c>
      <c r="F26" s="176">
        <f t="shared" si="0"/>
        <v>1522</v>
      </c>
      <c r="G26" s="176">
        <f>'AT3A_cvrg(Insti)_PY'!L29+'AT3B_cvrg(Insti)_UPY '!L28+'AT3C_cvrg(Insti)_UPY '!L28</f>
        <v>1522</v>
      </c>
      <c r="H26" s="9">
        <f t="shared" si="1"/>
        <v>0</v>
      </c>
    </row>
    <row r="27" spans="1:15" ht="14.25" x14ac:dyDescent="0.2">
      <c r="A27" s="50">
        <v>19</v>
      </c>
      <c r="B27" s="271" t="s">
        <v>914</v>
      </c>
      <c r="C27" s="176">
        <f>'AT3A_cvrg(Insti)_PY'!G30</f>
        <v>1504</v>
      </c>
      <c r="D27" s="176">
        <f>'AT3C_cvrg(Insti)_UPY '!G29</f>
        <v>8</v>
      </c>
      <c r="E27" s="176">
        <f>'AT3B_cvrg(Insti)_UPY '!G29</f>
        <v>802</v>
      </c>
      <c r="F27" s="176">
        <f t="shared" si="0"/>
        <v>2314</v>
      </c>
      <c r="G27" s="176">
        <f>'AT3A_cvrg(Insti)_PY'!L30+'AT3B_cvrg(Insti)_UPY '!L29+'AT3C_cvrg(Insti)_UPY '!L29</f>
        <v>2314</v>
      </c>
      <c r="H27" s="9">
        <f t="shared" si="1"/>
        <v>0</v>
      </c>
    </row>
    <row r="28" spans="1:15" ht="14.25" x14ac:dyDescent="0.2">
      <c r="A28" s="50">
        <v>20</v>
      </c>
      <c r="B28" s="271" t="s">
        <v>915</v>
      </c>
      <c r="C28" s="176">
        <f>'AT3A_cvrg(Insti)_PY'!G31</f>
        <v>600</v>
      </c>
      <c r="D28" s="176">
        <f>'AT3C_cvrg(Insti)_UPY '!G30</f>
        <v>2</v>
      </c>
      <c r="E28" s="176">
        <f>'AT3B_cvrg(Insti)_UPY '!G30</f>
        <v>413</v>
      </c>
      <c r="F28" s="176">
        <f t="shared" si="0"/>
        <v>1015</v>
      </c>
      <c r="G28" s="176">
        <f>'AT3A_cvrg(Insti)_PY'!L31+'AT3B_cvrg(Insti)_UPY '!L30+'AT3C_cvrg(Insti)_UPY '!L30</f>
        <v>1015</v>
      </c>
      <c r="H28" s="9">
        <f t="shared" si="1"/>
        <v>0</v>
      </c>
    </row>
    <row r="29" spans="1:15" ht="14.25" x14ac:dyDescent="0.2">
      <c r="A29" s="50">
        <v>21</v>
      </c>
      <c r="B29" s="271" t="s">
        <v>916</v>
      </c>
      <c r="C29" s="176">
        <f>'AT3A_cvrg(Insti)_PY'!G32</f>
        <v>758</v>
      </c>
      <c r="D29" s="176">
        <f>'AT3C_cvrg(Insti)_UPY '!G31</f>
        <v>12</v>
      </c>
      <c r="E29" s="176">
        <f>'AT3B_cvrg(Insti)_UPY '!G31</f>
        <v>516</v>
      </c>
      <c r="F29" s="176">
        <f t="shared" si="0"/>
        <v>1286</v>
      </c>
      <c r="G29" s="176">
        <f>'AT3A_cvrg(Insti)_PY'!L32+'AT3B_cvrg(Insti)_UPY '!L31+'AT3C_cvrg(Insti)_UPY '!L31</f>
        <v>1286</v>
      </c>
      <c r="H29" s="9">
        <f t="shared" si="1"/>
        <v>0</v>
      </c>
    </row>
    <row r="30" spans="1:15" ht="14.25" x14ac:dyDescent="0.2">
      <c r="A30" s="50">
        <v>22</v>
      </c>
      <c r="B30" s="271" t="s">
        <v>917</v>
      </c>
      <c r="C30" s="176">
        <f>'AT3A_cvrg(Insti)_PY'!G33</f>
        <v>628</v>
      </c>
      <c r="D30" s="176">
        <f>'AT3C_cvrg(Insti)_UPY '!G32</f>
        <v>8</v>
      </c>
      <c r="E30" s="176">
        <f>'AT3B_cvrg(Insti)_UPY '!G32</f>
        <v>375</v>
      </c>
      <c r="F30" s="176">
        <f t="shared" si="0"/>
        <v>1011</v>
      </c>
      <c r="G30" s="176">
        <f>'AT3A_cvrg(Insti)_PY'!L33+'AT3B_cvrg(Insti)_UPY '!L32+'AT3C_cvrg(Insti)_UPY '!L32</f>
        <v>1011</v>
      </c>
      <c r="H30" s="9">
        <f t="shared" si="1"/>
        <v>0</v>
      </c>
    </row>
    <row r="31" spans="1:15" ht="14.25" x14ac:dyDescent="0.2">
      <c r="A31" s="50">
        <v>23</v>
      </c>
      <c r="B31" s="271" t="s">
        <v>918</v>
      </c>
      <c r="C31" s="176">
        <f>'AT3A_cvrg(Insti)_PY'!G34</f>
        <v>922</v>
      </c>
      <c r="D31" s="176">
        <f>'AT3C_cvrg(Insti)_UPY '!G33</f>
        <v>4</v>
      </c>
      <c r="E31" s="176">
        <f>'AT3B_cvrg(Insti)_UPY '!G33</f>
        <v>614</v>
      </c>
      <c r="F31" s="176">
        <f t="shared" si="0"/>
        <v>1540</v>
      </c>
      <c r="G31" s="176">
        <f>'AT3A_cvrg(Insti)_PY'!L34+'AT3B_cvrg(Insti)_UPY '!L33+'AT3C_cvrg(Insti)_UPY '!L33</f>
        <v>1540</v>
      </c>
      <c r="H31" s="9">
        <f t="shared" si="1"/>
        <v>0</v>
      </c>
    </row>
    <row r="32" spans="1:15" ht="14.25" x14ac:dyDescent="0.2">
      <c r="A32" s="50">
        <v>24</v>
      </c>
      <c r="B32" s="271" t="s">
        <v>919</v>
      </c>
      <c r="C32" s="176">
        <f>'AT3A_cvrg(Insti)_PY'!G35</f>
        <v>1296</v>
      </c>
      <c r="D32" s="176">
        <f>'AT3C_cvrg(Insti)_UPY '!G34</f>
        <v>16</v>
      </c>
      <c r="E32" s="176">
        <f>'AT3B_cvrg(Insti)_UPY '!G34</f>
        <v>633</v>
      </c>
      <c r="F32" s="176">
        <f t="shared" si="0"/>
        <v>1945</v>
      </c>
      <c r="G32" s="176">
        <f>'AT3A_cvrg(Insti)_PY'!L35+'AT3B_cvrg(Insti)_UPY '!L34+'AT3C_cvrg(Insti)_UPY '!L34</f>
        <v>1945</v>
      </c>
      <c r="H32" s="9">
        <f t="shared" si="1"/>
        <v>0</v>
      </c>
    </row>
    <row r="33" spans="1:11" s="14" customFormat="1" ht="15" x14ac:dyDescent="0.25">
      <c r="A33" s="47" t="s">
        <v>18</v>
      </c>
      <c r="B33" s="270"/>
      <c r="C33" s="307">
        <f t="shared" ref="C33:H33" si="2">SUM(C9:C32)</f>
        <v>21838</v>
      </c>
      <c r="D33" s="307">
        <f t="shared" si="2"/>
        <v>295</v>
      </c>
      <c r="E33" s="307">
        <f t="shared" si="2"/>
        <v>13640</v>
      </c>
      <c r="F33" s="307">
        <f t="shared" si="2"/>
        <v>35773</v>
      </c>
      <c r="G33" s="307">
        <f t="shared" si="2"/>
        <v>35773</v>
      </c>
      <c r="H33" s="27">
        <f t="shared" si="2"/>
        <v>0</v>
      </c>
    </row>
    <row r="35" spans="1:11" x14ac:dyDescent="0.2">
      <c r="A35" s="177" t="s">
        <v>264</v>
      </c>
    </row>
    <row r="38" spans="1:11" ht="15" customHeight="1" x14ac:dyDescent="0.2">
      <c r="A38" s="178" t="s">
        <v>11</v>
      </c>
      <c r="B38" s="178"/>
      <c r="C38" s="178"/>
      <c r="D38" s="178"/>
      <c r="E38" s="178"/>
      <c r="F38" s="916" t="s">
        <v>12</v>
      </c>
      <c r="G38" s="916"/>
      <c r="H38" s="179"/>
    </row>
    <row r="39" spans="1:11" ht="15" customHeight="1" x14ac:dyDescent="0.2">
      <c r="A39" s="178"/>
      <c r="B39" s="178"/>
      <c r="C39" s="178"/>
      <c r="D39" s="178"/>
      <c r="E39" s="178"/>
      <c r="F39" s="916" t="s">
        <v>13</v>
      </c>
      <c r="G39" s="916"/>
      <c r="H39" s="916"/>
    </row>
    <row r="40" spans="1:11" ht="15" customHeight="1" x14ac:dyDescent="0.2">
      <c r="A40" s="178"/>
      <c r="B40" s="178"/>
      <c r="C40" s="178"/>
      <c r="D40" s="178"/>
      <c r="E40" s="178"/>
      <c r="F40" s="916" t="s">
        <v>87</v>
      </c>
      <c r="G40" s="916"/>
      <c r="H40" s="916"/>
    </row>
    <row r="41" spans="1:11" x14ac:dyDescent="0.2">
      <c r="A41" s="178"/>
      <c r="C41" s="178"/>
      <c r="D41" s="178"/>
      <c r="E41" s="178"/>
      <c r="F41" s="917" t="s">
        <v>84</v>
      </c>
      <c r="G41" s="917"/>
      <c r="H41" s="180"/>
    </row>
    <row r="42" spans="1:11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</row>
  </sheetData>
  <mergeCells count="8">
    <mergeCell ref="F40:H40"/>
    <mergeCell ref="F41:G41"/>
    <mergeCell ref="A1:G1"/>
    <mergeCell ref="A2:H2"/>
    <mergeCell ref="A4:H4"/>
    <mergeCell ref="G6:H6"/>
    <mergeCell ref="F38:G38"/>
    <mergeCell ref="F39:H39"/>
  </mergeCells>
  <printOptions horizontalCentered="1"/>
  <pageMargins left="0.36" right="0.17" top="0.23622047244094491" bottom="0" header="0.31496062992125984" footer="0.17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8"/>
  <sheetViews>
    <sheetView topLeftCell="A7" zoomScaleNormal="100" zoomScaleSheetLayoutView="85" workbookViewId="0">
      <selection activeCell="C29" sqref="C29"/>
    </sheetView>
  </sheetViews>
  <sheetFormatPr defaultRowHeight="12.75" x14ac:dyDescent="0.2"/>
  <cols>
    <col min="1" max="1" width="8" customWidth="1"/>
    <col min="2" max="2" width="15.42578125" bestFit="1" customWidth="1"/>
    <col min="3" max="3" width="9.7109375" customWidth="1"/>
    <col min="5" max="5" width="9.5703125" customWidth="1"/>
    <col min="6" max="6" width="9.7109375" customWidth="1"/>
    <col min="7" max="7" width="12.85546875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24" customWidth="1"/>
  </cols>
  <sheetData>
    <row r="1" spans="1:19" ht="12.75" customHeight="1" x14ac:dyDescent="0.2">
      <c r="D1" s="853"/>
      <c r="E1" s="853"/>
      <c r="F1" s="853"/>
      <c r="G1" s="853"/>
      <c r="H1" s="853"/>
      <c r="I1" s="853"/>
      <c r="L1" s="928"/>
      <c r="M1" s="928"/>
      <c r="N1" s="928" t="s">
        <v>89</v>
      </c>
      <c r="O1" s="928"/>
    </row>
    <row r="2" spans="1:19" ht="15.75" x14ac:dyDescent="0.25">
      <c r="A2" s="850" t="s">
        <v>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</row>
    <row r="3" spans="1:19" ht="20.25" x14ac:dyDescent="0.3">
      <c r="A3" s="851" t="s">
        <v>740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</row>
    <row r="4" spans="1:19" ht="11.25" customHeight="1" x14ac:dyDescent="0.2"/>
    <row r="5" spans="1:19" ht="15.75" x14ac:dyDescent="0.25">
      <c r="A5" s="850" t="s">
        <v>793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</row>
    <row r="7" spans="1:19" x14ac:dyDescent="0.2">
      <c r="A7" s="820" t="s">
        <v>920</v>
      </c>
      <c r="B7" s="820"/>
      <c r="K7" s="99"/>
    </row>
    <row r="8" spans="1:19" x14ac:dyDescent="0.2">
      <c r="A8" s="29"/>
      <c r="B8" s="29"/>
      <c r="K8" s="92"/>
      <c r="L8" s="927" t="s">
        <v>830</v>
      </c>
      <c r="M8" s="927"/>
      <c r="N8" s="927"/>
    </row>
    <row r="9" spans="1:19" ht="15.75" customHeight="1" x14ac:dyDescent="0.2">
      <c r="A9" s="818" t="s">
        <v>2</v>
      </c>
      <c r="B9" s="818" t="s">
        <v>3</v>
      </c>
      <c r="C9" s="802" t="s">
        <v>4</v>
      </c>
      <c r="D9" s="802"/>
      <c r="E9" s="802"/>
      <c r="F9" s="798"/>
      <c r="G9" s="926"/>
      <c r="H9" s="799" t="s">
        <v>104</v>
      </c>
      <c r="I9" s="799"/>
      <c r="J9" s="799"/>
      <c r="K9" s="799"/>
      <c r="L9" s="799"/>
      <c r="M9" s="818" t="s">
        <v>129</v>
      </c>
      <c r="N9" s="834" t="s">
        <v>130</v>
      </c>
    </row>
    <row r="10" spans="1:19" ht="38.25" x14ac:dyDescent="0.2">
      <c r="A10" s="819"/>
      <c r="B10" s="819"/>
      <c r="C10" s="5" t="s">
        <v>5</v>
      </c>
      <c r="D10" s="5" t="s">
        <v>6</v>
      </c>
      <c r="E10" s="5" t="s">
        <v>353</v>
      </c>
      <c r="F10" s="7" t="s">
        <v>102</v>
      </c>
      <c r="G10" s="6" t="s">
        <v>354</v>
      </c>
      <c r="H10" s="5" t="s">
        <v>5</v>
      </c>
      <c r="I10" s="5" t="s">
        <v>6</v>
      </c>
      <c r="J10" s="5" t="s">
        <v>353</v>
      </c>
      <c r="K10" s="7" t="s">
        <v>102</v>
      </c>
      <c r="L10" s="7" t="s">
        <v>355</v>
      </c>
      <c r="M10" s="819"/>
      <c r="N10" s="834"/>
      <c r="R10" s="12"/>
      <c r="S10" s="12"/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x14ac:dyDescent="0.2">
      <c r="A12" s="8">
        <v>1</v>
      </c>
      <c r="B12" s="176" t="s">
        <v>896</v>
      </c>
      <c r="C12" s="490">
        <v>1260</v>
      </c>
      <c r="D12" s="490">
        <v>44</v>
      </c>
      <c r="E12" s="490">
        <v>28</v>
      </c>
      <c r="F12" s="491">
        <v>0</v>
      </c>
      <c r="G12" s="492">
        <f>SUM(C12:F12)</f>
        <v>1332</v>
      </c>
      <c r="H12" s="511">
        <v>1260</v>
      </c>
      <c r="I12" s="511">
        <v>44</v>
      </c>
      <c r="J12" s="511">
        <v>28</v>
      </c>
      <c r="K12" s="510">
        <v>0</v>
      </c>
      <c r="L12" s="511">
        <f>SUM(H12:K12)</f>
        <v>1332</v>
      </c>
      <c r="M12" s="493">
        <f>G12-L12</f>
        <v>0</v>
      </c>
      <c r="N12" s="17"/>
    </row>
    <row r="13" spans="1:19" x14ac:dyDescent="0.2">
      <c r="A13" s="8">
        <v>2</v>
      </c>
      <c r="B13" s="176" t="s">
        <v>897</v>
      </c>
      <c r="C13" s="490">
        <v>477</v>
      </c>
      <c r="D13" s="490">
        <v>72</v>
      </c>
      <c r="E13" s="490">
        <v>0</v>
      </c>
      <c r="F13" s="491">
        <v>0</v>
      </c>
      <c r="G13" s="492">
        <f t="shared" ref="G13:G35" si="0">SUM(C13:F13)</f>
        <v>549</v>
      </c>
      <c r="H13" s="511">
        <v>477</v>
      </c>
      <c r="I13" s="511">
        <v>72</v>
      </c>
      <c r="J13" s="511">
        <v>0</v>
      </c>
      <c r="K13" s="510">
        <v>0</v>
      </c>
      <c r="L13" s="511">
        <f t="shared" ref="L13:L35" si="1">SUM(H13:K13)</f>
        <v>549</v>
      </c>
      <c r="M13" s="493">
        <f t="shared" ref="M13:M35" si="2">G13-L13</f>
        <v>0</v>
      </c>
      <c r="N13" s="8"/>
    </row>
    <row r="14" spans="1:19" x14ac:dyDescent="0.2">
      <c r="A14" s="8">
        <v>3</v>
      </c>
      <c r="B14" s="176" t="s">
        <v>898</v>
      </c>
      <c r="C14" s="490">
        <v>283</v>
      </c>
      <c r="D14" s="490">
        <v>7</v>
      </c>
      <c r="E14" s="490">
        <v>0</v>
      </c>
      <c r="F14" s="491">
        <v>0</v>
      </c>
      <c r="G14" s="492">
        <f t="shared" si="0"/>
        <v>290</v>
      </c>
      <c r="H14" s="511">
        <v>283</v>
      </c>
      <c r="I14" s="511">
        <v>7</v>
      </c>
      <c r="J14" s="511">
        <v>0</v>
      </c>
      <c r="K14" s="510">
        <v>0</v>
      </c>
      <c r="L14" s="511">
        <f t="shared" si="1"/>
        <v>290</v>
      </c>
      <c r="M14" s="493">
        <f t="shared" si="2"/>
        <v>0</v>
      </c>
      <c r="N14" s="8"/>
    </row>
    <row r="15" spans="1:19" x14ac:dyDescent="0.2">
      <c r="A15" s="8">
        <v>4</v>
      </c>
      <c r="B15" s="176" t="s">
        <v>899</v>
      </c>
      <c r="C15" s="490">
        <v>785</v>
      </c>
      <c r="D15" s="490">
        <v>134</v>
      </c>
      <c r="E15" s="490">
        <v>0</v>
      </c>
      <c r="F15" s="491">
        <v>0</v>
      </c>
      <c r="G15" s="492">
        <f t="shared" si="0"/>
        <v>919</v>
      </c>
      <c r="H15" s="511">
        <v>785</v>
      </c>
      <c r="I15" s="511">
        <v>134</v>
      </c>
      <c r="J15" s="511">
        <v>0</v>
      </c>
      <c r="K15" s="510">
        <v>0</v>
      </c>
      <c r="L15" s="511">
        <f t="shared" si="1"/>
        <v>919</v>
      </c>
      <c r="M15" s="493">
        <f t="shared" si="2"/>
        <v>0</v>
      </c>
      <c r="N15" s="8"/>
    </row>
    <row r="16" spans="1:19" x14ac:dyDescent="0.2">
      <c r="A16" s="8">
        <v>5</v>
      </c>
      <c r="B16" s="176" t="s">
        <v>900</v>
      </c>
      <c r="C16" s="490">
        <v>437</v>
      </c>
      <c r="D16" s="490">
        <v>149</v>
      </c>
      <c r="E16" s="490">
        <v>0</v>
      </c>
      <c r="F16" s="491">
        <v>0</v>
      </c>
      <c r="G16" s="492">
        <f t="shared" si="0"/>
        <v>586</v>
      </c>
      <c r="H16" s="511">
        <v>437</v>
      </c>
      <c r="I16" s="511">
        <v>149</v>
      </c>
      <c r="J16" s="511">
        <v>0</v>
      </c>
      <c r="K16" s="510">
        <v>0</v>
      </c>
      <c r="L16" s="511">
        <f t="shared" si="1"/>
        <v>586</v>
      </c>
      <c r="M16" s="493">
        <f t="shared" si="2"/>
        <v>0</v>
      </c>
      <c r="N16" s="8"/>
    </row>
    <row r="17" spans="1:14" x14ac:dyDescent="0.2">
      <c r="A17" s="8">
        <v>6</v>
      </c>
      <c r="B17" s="176" t="s">
        <v>901</v>
      </c>
      <c r="C17" s="490">
        <v>958</v>
      </c>
      <c r="D17" s="490">
        <v>8</v>
      </c>
      <c r="E17" s="490">
        <v>0</v>
      </c>
      <c r="F17" s="491">
        <v>0</v>
      </c>
      <c r="G17" s="492">
        <f t="shared" si="0"/>
        <v>966</v>
      </c>
      <c r="H17" s="511">
        <v>958</v>
      </c>
      <c r="I17" s="511">
        <v>8</v>
      </c>
      <c r="J17" s="511">
        <v>0</v>
      </c>
      <c r="K17" s="510">
        <v>0</v>
      </c>
      <c r="L17" s="511">
        <f t="shared" si="1"/>
        <v>966</v>
      </c>
      <c r="M17" s="493">
        <f t="shared" si="2"/>
        <v>0</v>
      </c>
      <c r="N17" s="8"/>
    </row>
    <row r="18" spans="1:14" x14ac:dyDescent="0.2">
      <c r="A18" s="8">
        <v>7</v>
      </c>
      <c r="B18" s="176" t="s">
        <v>902</v>
      </c>
      <c r="C18" s="490">
        <v>821</v>
      </c>
      <c r="D18" s="490">
        <v>0</v>
      </c>
      <c r="E18" s="490">
        <v>0</v>
      </c>
      <c r="F18" s="491">
        <v>0</v>
      </c>
      <c r="G18" s="492">
        <f t="shared" si="0"/>
        <v>821</v>
      </c>
      <c r="H18" s="511">
        <v>821</v>
      </c>
      <c r="I18" s="511">
        <v>0</v>
      </c>
      <c r="J18" s="511">
        <v>0</v>
      </c>
      <c r="K18" s="510">
        <v>0</v>
      </c>
      <c r="L18" s="511">
        <f t="shared" si="1"/>
        <v>821</v>
      </c>
      <c r="M18" s="493">
        <f t="shared" si="2"/>
        <v>0</v>
      </c>
      <c r="N18" s="8"/>
    </row>
    <row r="19" spans="1:14" x14ac:dyDescent="0.2">
      <c r="A19" s="8">
        <v>8</v>
      </c>
      <c r="B19" s="176" t="s">
        <v>903</v>
      </c>
      <c r="C19" s="490">
        <v>1347</v>
      </c>
      <c r="D19" s="490">
        <v>6</v>
      </c>
      <c r="E19" s="490">
        <v>26</v>
      </c>
      <c r="F19" s="491">
        <v>0</v>
      </c>
      <c r="G19" s="492">
        <f t="shared" si="0"/>
        <v>1379</v>
      </c>
      <c r="H19" s="511">
        <v>1347</v>
      </c>
      <c r="I19" s="511">
        <v>6</v>
      </c>
      <c r="J19" s="511">
        <v>26</v>
      </c>
      <c r="K19" s="510">
        <v>0</v>
      </c>
      <c r="L19" s="511">
        <f t="shared" si="1"/>
        <v>1379</v>
      </c>
      <c r="M19" s="493">
        <f t="shared" si="2"/>
        <v>0</v>
      </c>
      <c r="N19" s="8"/>
    </row>
    <row r="20" spans="1:14" x14ac:dyDescent="0.2">
      <c r="A20" s="8">
        <v>9</v>
      </c>
      <c r="B20" s="176" t="s">
        <v>904</v>
      </c>
      <c r="C20" s="490">
        <v>1202</v>
      </c>
      <c r="D20" s="490">
        <v>1</v>
      </c>
      <c r="E20" s="490">
        <v>0</v>
      </c>
      <c r="F20" s="491">
        <v>0</v>
      </c>
      <c r="G20" s="492">
        <f t="shared" si="0"/>
        <v>1203</v>
      </c>
      <c r="H20" s="511">
        <v>1202</v>
      </c>
      <c r="I20" s="511">
        <v>1</v>
      </c>
      <c r="J20" s="511">
        <v>0</v>
      </c>
      <c r="K20" s="510">
        <v>0</v>
      </c>
      <c r="L20" s="511">
        <f t="shared" si="1"/>
        <v>1203</v>
      </c>
      <c r="M20" s="493">
        <f t="shared" si="2"/>
        <v>0</v>
      </c>
      <c r="N20" s="8"/>
    </row>
    <row r="21" spans="1:14" x14ac:dyDescent="0.2">
      <c r="A21" s="8">
        <v>10</v>
      </c>
      <c r="B21" s="176" t="s">
        <v>905</v>
      </c>
      <c r="C21" s="490">
        <v>632</v>
      </c>
      <c r="D21" s="490">
        <v>0</v>
      </c>
      <c r="E21" s="490">
        <v>0</v>
      </c>
      <c r="F21" s="491">
        <v>0</v>
      </c>
      <c r="G21" s="492">
        <f t="shared" si="0"/>
        <v>632</v>
      </c>
      <c r="H21" s="511">
        <v>632</v>
      </c>
      <c r="I21" s="511">
        <v>0</v>
      </c>
      <c r="J21" s="511">
        <v>0</v>
      </c>
      <c r="K21" s="510">
        <v>0</v>
      </c>
      <c r="L21" s="511">
        <f t="shared" si="1"/>
        <v>632</v>
      </c>
      <c r="M21" s="493">
        <f t="shared" si="2"/>
        <v>0</v>
      </c>
      <c r="N21" s="8"/>
    </row>
    <row r="22" spans="1:14" x14ac:dyDescent="0.2">
      <c r="A22" s="8">
        <v>11</v>
      </c>
      <c r="B22" s="176" t="s">
        <v>906</v>
      </c>
      <c r="C22" s="493">
        <v>955</v>
      </c>
      <c r="D22" s="493">
        <v>0</v>
      </c>
      <c r="E22" s="493">
        <v>25</v>
      </c>
      <c r="F22" s="492">
        <v>0</v>
      </c>
      <c r="G22" s="492">
        <f t="shared" si="0"/>
        <v>980</v>
      </c>
      <c r="H22" s="511">
        <v>955</v>
      </c>
      <c r="I22" s="511">
        <v>0</v>
      </c>
      <c r="J22" s="511">
        <v>25</v>
      </c>
      <c r="K22" s="510">
        <v>0</v>
      </c>
      <c r="L22" s="511">
        <f t="shared" si="1"/>
        <v>980</v>
      </c>
      <c r="M22" s="493">
        <f t="shared" si="2"/>
        <v>0</v>
      </c>
      <c r="N22" s="8"/>
    </row>
    <row r="23" spans="1:14" x14ac:dyDescent="0.2">
      <c r="A23" s="8">
        <v>12</v>
      </c>
      <c r="B23" s="269" t="s">
        <v>907</v>
      </c>
      <c r="C23" s="493">
        <v>875</v>
      </c>
      <c r="D23" s="493">
        <v>8</v>
      </c>
      <c r="E23" s="493">
        <v>12</v>
      </c>
      <c r="F23" s="492">
        <v>4</v>
      </c>
      <c r="G23" s="492">
        <f t="shared" si="0"/>
        <v>899</v>
      </c>
      <c r="H23" s="511">
        <v>875</v>
      </c>
      <c r="I23" s="511">
        <v>8</v>
      </c>
      <c r="J23" s="511">
        <v>12</v>
      </c>
      <c r="K23" s="510">
        <v>4</v>
      </c>
      <c r="L23" s="511">
        <f t="shared" si="1"/>
        <v>899</v>
      </c>
      <c r="M23" s="493">
        <f t="shared" si="2"/>
        <v>0</v>
      </c>
      <c r="N23" s="8"/>
    </row>
    <row r="24" spans="1:14" x14ac:dyDescent="0.2">
      <c r="A24" s="8">
        <v>13</v>
      </c>
      <c r="B24" s="176" t="s">
        <v>908</v>
      </c>
      <c r="C24" s="493">
        <v>345</v>
      </c>
      <c r="D24" s="493">
        <v>2</v>
      </c>
      <c r="E24" s="493">
        <v>0</v>
      </c>
      <c r="F24" s="492">
        <v>0</v>
      </c>
      <c r="G24" s="492">
        <f t="shared" si="0"/>
        <v>347</v>
      </c>
      <c r="H24" s="511">
        <v>345</v>
      </c>
      <c r="I24" s="511">
        <v>2</v>
      </c>
      <c r="J24" s="511">
        <v>0</v>
      </c>
      <c r="K24" s="510">
        <v>0</v>
      </c>
      <c r="L24" s="511">
        <f t="shared" si="1"/>
        <v>347</v>
      </c>
      <c r="M24" s="493">
        <f t="shared" si="2"/>
        <v>0</v>
      </c>
      <c r="N24" s="8"/>
    </row>
    <row r="25" spans="1:14" x14ac:dyDescent="0.2">
      <c r="A25" s="8">
        <v>14</v>
      </c>
      <c r="B25" s="176" t="s">
        <v>909</v>
      </c>
      <c r="C25" s="493">
        <v>363</v>
      </c>
      <c r="D25" s="493">
        <v>0</v>
      </c>
      <c r="E25" s="493">
        <v>0</v>
      </c>
      <c r="F25" s="492">
        <v>0</v>
      </c>
      <c r="G25" s="492">
        <f t="shared" si="0"/>
        <v>363</v>
      </c>
      <c r="H25" s="511">
        <v>363</v>
      </c>
      <c r="I25" s="511">
        <v>0</v>
      </c>
      <c r="J25" s="511">
        <v>0</v>
      </c>
      <c r="K25" s="510">
        <v>0</v>
      </c>
      <c r="L25" s="511">
        <f t="shared" si="1"/>
        <v>363</v>
      </c>
      <c r="M25" s="493">
        <f t="shared" si="2"/>
        <v>0</v>
      </c>
      <c r="N25" s="8"/>
    </row>
    <row r="26" spans="1:14" x14ac:dyDescent="0.2">
      <c r="A26" s="8">
        <v>15</v>
      </c>
      <c r="B26" s="176" t="s">
        <v>910</v>
      </c>
      <c r="C26" s="493">
        <v>895</v>
      </c>
      <c r="D26" s="493">
        <v>0</v>
      </c>
      <c r="E26" s="493">
        <v>0</v>
      </c>
      <c r="F26" s="492">
        <v>0</v>
      </c>
      <c r="G26" s="492">
        <f t="shared" si="0"/>
        <v>895</v>
      </c>
      <c r="H26" s="511">
        <v>895</v>
      </c>
      <c r="I26" s="511">
        <v>0</v>
      </c>
      <c r="J26" s="511">
        <v>0</v>
      </c>
      <c r="K26" s="510">
        <v>0</v>
      </c>
      <c r="L26" s="511">
        <f t="shared" si="1"/>
        <v>895</v>
      </c>
      <c r="M26" s="493">
        <f t="shared" si="2"/>
        <v>0</v>
      </c>
      <c r="N26" s="8"/>
    </row>
    <row r="27" spans="1:14" x14ac:dyDescent="0.2">
      <c r="A27" s="8">
        <v>16</v>
      </c>
      <c r="B27" s="176" t="s">
        <v>911</v>
      </c>
      <c r="C27" s="493">
        <v>1883</v>
      </c>
      <c r="D27" s="493">
        <v>5</v>
      </c>
      <c r="E27" s="493">
        <v>0</v>
      </c>
      <c r="F27" s="492">
        <v>0</v>
      </c>
      <c r="G27" s="492">
        <f t="shared" si="0"/>
        <v>1888</v>
      </c>
      <c r="H27" s="511">
        <v>1883</v>
      </c>
      <c r="I27" s="511">
        <v>5</v>
      </c>
      <c r="J27" s="511">
        <v>0</v>
      </c>
      <c r="K27" s="510">
        <v>0</v>
      </c>
      <c r="L27" s="511">
        <f t="shared" si="1"/>
        <v>1888</v>
      </c>
      <c r="M27" s="493">
        <f t="shared" si="2"/>
        <v>0</v>
      </c>
      <c r="N27" s="8"/>
    </row>
    <row r="28" spans="1:14" x14ac:dyDescent="0.2">
      <c r="A28" s="8">
        <v>17</v>
      </c>
      <c r="B28" s="176" t="s">
        <v>912</v>
      </c>
      <c r="C28" s="376">
        <v>1091</v>
      </c>
      <c r="D28" s="376">
        <v>0</v>
      </c>
      <c r="E28" s="376">
        <v>0</v>
      </c>
      <c r="F28" s="494">
        <v>0</v>
      </c>
      <c r="G28" s="492">
        <f t="shared" si="0"/>
        <v>1091</v>
      </c>
      <c r="H28" s="512">
        <v>1091</v>
      </c>
      <c r="I28" s="512">
        <v>0</v>
      </c>
      <c r="J28" s="512">
        <v>0</v>
      </c>
      <c r="K28" s="513">
        <v>0</v>
      </c>
      <c r="L28" s="511">
        <f t="shared" si="1"/>
        <v>1091</v>
      </c>
      <c r="M28" s="493">
        <f t="shared" si="2"/>
        <v>0</v>
      </c>
      <c r="N28" s="8"/>
    </row>
    <row r="29" spans="1:14" x14ac:dyDescent="0.2">
      <c r="A29" s="8">
        <v>18</v>
      </c>
      <c r="B29" s="176" t="s">
        <v>913</v>
      </c>
      <c r="C29" s="376">
        <v>990</v>
      </c>
      <c r="D29" s="376">
        <v>0</v>
      </c>
      <c r="E29" s="376">
        <v>0</v>
      </c>
      <c r="F29" s="494">
        <v>0</v>
      </c>
      <c r="G29" s="492">
        <f t="shared" si="0"/>
        <v>990</v>
      </c>
      <c r="H29" s="512">
        <v>990</v>
      </c>
      <c r="I29" s="512">
        <v>0</v>
      </c>
      <c r="J29" s="512">
        <v>0</v>
      </c>
      <c r="K29" s="513">
        <v>0</v>
      </c>
      <c r="L29" s="511">
        <f t="shared" si="1"/>
        <v>990</v>
      </c>
      <c r="M29" s="493">
        <f t="shared" si="2"/>
        <v>0</v>
      </c>
      <c r="N29" s="8"/>
    </row>
    <row r="30" spans="1:14" x14ac:dyDescent="0.2">
      <c r="A30" s="8">
        <v>19</v>
      </c>
      <c r="B30" s="176" t="s">
        <v>914</v>
      </c>
      <c r="C30" s="376">
        <v>1465</v>
      </c>
      <c r="D30" s="376">
        <v>13</v>
      </c>
      <c r="E30" s="376">
        <v>26</v>
      </c>
      <c r="F30" s="494">
        <v>0</v>
      </c>
      <c r="G30" s="492">
        <f t="shared" si="0"/>
        <v>1504</v>
      </c>
      <c r="H30" s="512">
        <v>1465</v>
      </c>
      <c r="I30" s="512">
        <v>13</v>
      </c>
      <c r="J30" s="512">
        <v>26</v>
      </c>
      <c r="K30" s="513">
        <v>0</v>
      </c>
      <c r="L30" s="511">
        <f t="shared" si="1"/>
        <v>1504</v>
      </c>
      <c r="M30" s="493">
        <f t="shared" si="2"/>
        <v>0</v>
      </c>
      <c r="N30" s="8"/>
    </row>
    <row r="31" spans="1:14" x14ac:dyDescent="0.2">
      <c r="A31" s="8">
        <v>20</v>
      </c>
      <c r="B31" s="176" t="s">
        <v>915</v>
      </c>
      <c r="C31" s="376">
        <v>599</v>
      </c>
      <c r="D31" s="376">
        <v>1</v>
      </c>
      <c r="E31" s="376">
        <v>0</v>
      </c>
      <c r="F31" s="494">
        <v>0</v>
      </c>
      <c r="G31" s="492">
        <f t="shared" si="0"/>
        <v>600</v>
      </c>
      <c r="H31" s="512">
        <v>599</v>
      </c>
      <c r="I31" s="512">
        <v>1</v>
      </c>
      <c r="J31" s="512">
        <v>0</v>
      </c>
      <c r="K31" s="513">
        <v>0</v>
      </c>
      <c r="L31" s="511">
        <f t="shared" si="1"/>
        <v>600</v>
      </c>
      <c r="M31" s="493">
        <f t="shared" si="2"/>
        <v>0</v>
      </c>
      <c r="N31" s="8"/>
    </row>
    <row r="32" spans="1:14" x14ac:dyDescent="0.2">
      <c r="A32" s="8">
        <v>21</v>
      </c>
      <c r="B32" s="176" t="s">
        <v>916</v>
      </c>
      <c r="C32" s="376">
        <v>758</v>
      </c>
      <c r="D32" s="376">
        <v>0</v>
      </c>
      <c r="E32" s="376">
        <v>0</v>
      </c>
      <c r="F32" s="494">
        <v>0</v>
      </c>
      <c r="G32" s="492">
        <f t="shared" si="0"/>
        <v>758</v>
      </c>
      <c r="H32" s="512">
        <v>758</v>
      </c>
      <c r="I32" s="512">
        <v>0</v>
      </c>
      <c r="J32" s="512">
        <v>0</v>
      </c>
      <c r="K32" s="513">
        <v>0</v>
      </c>
      <c r="L32" s="511">
        <f t="shared" si="1"/>
        <v>758</v>
      </c>
      <c r="M32" s="493">
        <f t="shared" si="2"/>
        <v>0</v>
      </c>
      <c r="N32" s="8"/>
    </row>
    <row r="33" spans="1:15" x14ac:dyDescent="0.2">
      <c r="A33" s="8">
        <v>22</v>
      </c>
      <c r="B33" s="176" t="s">
        <v>917</v>
      </c>
      <c r="C33" s="18">
        <v>604</v>
      </c>
      <c r="D33" s="18">
        <v>5</v>
      </c>
      <c r="E33" s="18">
        <v>19</v>
      </c>
      <c r="F33" s="25">
        <v>0</v>
      </c>
      <c r="G33" s="492">
        <f t="shared" si="0"/>
        <v>628</v>
      </c>
      <c r="H33" s="509">
        <v>604</v>
      </c>
      <c r="I33" s="509">
        <v>5</v>
      </c>
      <c r="J33" s="509">
        <v>19</v>
      </c>
      <c r="K33" s="514">
        <v>0</v>
      </c>
      <c r="L33" s="511">
        <f t="shared" si="1"/>
        <v>628</v>
      </c>
      <c r="M33" s="493">
        <f t="shared" si="2"/>
        <v>0</v>
      </c>
      <c r="N33" s="8"/>
    </row>
    <row r="34" spans="1:15" x14ac:dyDescent="0.2">
      <c r="A34" s="8">
        <v>23</v>
      </c>
      <c r="B34" s="176" t="s">
        <v>918</v>
      </c>
      <c r="C34" s="376">
        <v>922</v>
      </c>
      <c r="D34" s="376">
        <v>0</v>
      </c>
      <c r="E34" s="376">
        <v>0</v>
      </c>
      <c r="F34" s="494">
        <v>0</v>
      </c>
      <c r="G34" s="492">
        <f t="shared" si="0"/>
        <v>922</v>
      </c>
      <c r="H34" s="512">
        <v>922</v>
      </c>
      <c r="I34" s="512">
        <v>0</v>
      </c>
      <c r="J34" s="512">
        <v>0</v>
      </c>
      <c r="K34" s="513">
        <v>0</v>
      </c>
      <c r="L34" s="511">
        <f t="shared" si="1"/>
        <v>922</v>
      </c>
      <c r="M34" s="493">
        <f t="shared" si="2"/>
        <v>0</v>
      </c>
      <c r="N34" s="8"/>
    </row>
    <row r="35" spans="1:15" x14ac:dyDescent="0.2">
      <c r="A35" s="8">
        <v>24</v>
      </c>
      <c r="B35" s="176" t="s">
        <v>919</v>
      </c>
      <c r="C35" s="376">
        <v>1296</v>
      </c>
      <c r="D35" s="376">
        <v>0</v>
      </c>
      <c r="E35" s="376">
        <v>0</v>
      </c>
      <c r="F35" s="494">
        <v>0</v>
      </c>
      <c r="G35" s="492">
        <f t="shared" si="0"/>
        <v>1296</v>
      </c>
      <c r="H35" s="512">
        <v>1296</v>
      </c>
      <c r="I35" s="512">
        <v>0</v>
      </c>
      <c r="J35" s="512">
        <v>0</v>
      </c>
      <c r="K35" s="513">
        <v>0</v>
      </c>
      <c r="L35" s="511">
        <f t="shared" si="1"/>
        <v>1296</v>
      </c>
      <c r="M35" s="493">
        <f t="shared" si="2"/>
        <v>0</v>
      </c>
      <c r="N35" s="8"/>
    </row>
    <row r="36" spans="1:15" s="14" customFormat="1" x14ac:dyDescent="0.2">
      <c r="A36" s="798" t="s">
        <v>18</v>
      </c>
      <c r="B36" s="800"/>
      <c r="C36" s="27">
        <f t="shared" ref="C36:M36" si="3">SUM(C12:C35)</f>
        <v>21243</v>
      </c>
      <c r="D36" s="27">
        <f t="shared" si="3"/>
        <v>455</v>
      </c>
      <c r="E36" s="27">
        <f t="shared" si="3"/>
        <v>136</v>
      </c>
      <c r="F36" s="309">
        <f t="shared" si="3"/>
        <v>4</v>
      </c>
      <c r="G36" s="499">
        <f t="shared" si="3"/>
        <v>21838</v>
      </c>
      <c r="H36" s="27">
        <f t="shared" si="3"/>
        <v>21243</v>
      </c>
      <c r="I36" s="27">
        <f t="shared" si="3"/>
        <v>455</v>
      </c>
      <c r="J36" s="27">
        <f t="shared" si="3"/>
        <v>136</v>
      </c>
      <c r="K36" s="27">
        <f t="shared" si="3"/>
        <v>4</v>
      </c>
      <c r="L36" s="27">
        <f t="shared" si="3"/>
        <v>21838</v>
      </c>
      <c r="M36" s="27">
        <f t="shared" si="3"/>
        <v>0</v>
      </c>
      <c r="N36" s="3"/>
    </row>
    <row r="37" spans="1:15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5" x14ac:dyDescent="0.2">
      <c r="A38" s="10" t="s">
        <v>7</v>
      </c>
    </row>
    <row r="39" spans="1:15" x14ac:dyDescent="0.2">
      <c r="A39" t="s">
        <v>8</v>
      </c>
    </row>
    <row r="40" spans="1:15" x14ac:dyDescent="0.2">
      <c r="A40" t="s">
        <v>9</v>
      </c>
      <c r="J40" s="11" t="s">
        <v>10</v>
      </c>
      <c r="K40" s="11"/>
      <c r="L40" s="11" t="s">
        <v>10</v>
      </c>
    </row>
    <row r="41" spans="1:15" x14ac:dyDescent="0.2">
      <c r="A41" s="15" t="s">
        <v>425</v>
      </c>
      <c r="J41" s="11"/>
      <c r="K41" s="11"/>
      <c r="L41" s="11"/>
    </row>
    <row r="42" spans="1:15" x14ac:dyDescent="0.2">
      <c r="C42" s="15" t="s">
        <v>426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5" x14ac:dyDescent="0.2">
      <c r="C43" s="15"/>
      <c r="E43" s="12"/>
      <c r="F43" s="12"/>
      <c r="G43" s="12"/>
      <c r="H43" s="12"/>
      <c r="I43" s="12"/>
      <c r="J43" s="12"/>
      <c r="K43" s="12"/>
      <c r="L43" s="12"/>
      <c r="M43" s="12"/>
    </row>
    <row r="44" spans="1:15" ht="15.6" customHeight="1" x14ac:dyDescent="0.25">
      <c r="A44" s="13" t="s">
        <v>11</v>
      </c>
      <c r="B44" s="13"/>
      <c r="C44" s="13"/>
      <c r="D44" s="13"/>
      <c r="E44" s="13"/>
      <c r="F44" s="13"/>
      <c r="G44" s="13"/>
      <c r="J44" s="14"/>
      <c r="K44" s="923"/>
      <c r="L44" s="924"/>
      <c r="M44" s="925" t="s">
        <v>12</v>
      </c>
      <c r="N44" s="925"/>
      <c r="O44" s="925"/>
    </row>
    <row r="45" spans="1:15" ht="15.6" customHeight="1" x14ac:dyDescent="0.2">
      <c r="A45" s="923" t="s">
        <v>13</v>
      </c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</row>
    <row r="46" spans="1:15" ht="15.75" x14ac:dyDescent="0.2">
      <c r="A46" s="923" t="s">
        <v>14</v>
      </c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</row>
    <row r="47" spans="1:15" x14ac:dyDescent="0.2">
      <c r="K47" s="820" t="s">
        <v>84</v>
      </c>
      <c r="L47" s="820"/>
      <c r="M47" s="820"/>
      <c r="N47" s="820"/>
    </row>
    <row r="48" spans="1:15" x14ac:dyDescent="0.2">
      <c r="A48" s="922"/>
      <c r="B48" s="922"/>
      <c r="C48" s="922"/>
      <c r="D48" s="922"/>
      <c r="E48" s="922"/>
      <c r="F48" s="922"/>
      <c r="G48" s="922"/>
      <c r="H48" s="922"/>
      <c r="I48" s="922"/>
      <c r="J48" s="922"/>
      <c r="K48" s="922"/>
      <c r="L48" s="922"/>
      <c r="M48" s="922"/>
    </row>
  </sheetData>
  <mergeCells count="21"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  <mergeCell ref="N1:O1"/>
    <mergeCell ref="A48:M48"/>
    <mergeCell ref="K44:L44"/>
    <mergeCell ref="A46:N46"/>
    <mergeCell ref="A45:N45"/>
    <mergeCell ref="H9:L9"/>
    <mergeCell ref="M44:O44"/>
    <mergeCell ref="C9:G9"/>
    <mergeCell ref="K47:N47"/>
    <mergeCell ref="N9:N10"/>
    <mergeCell ref="A36:B36"/>
  </mergeCells>
  <phoneticPr fontId="0" type="noConversion"/>
  <printOptions horizontalCentered="1"/>
  <pageMargins left="0.43" right="0.25" top="0.23622047244094491" bottom="0" header="0.31496062992125984" footer="0.18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74</vt:i4>
      </vt:variant>
      <vt:variant>
        <vt:lpstr>Named Ranges</vt:lpstr>
      </vt:variant>
      <vt:variant>
        <vt:i4>68</vt:i4>
      </vt:variant>
    </vt:vector>
  </HeadingPairs>
  <TitlesOfParts>
    <vt:vector size="142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MME-Plan</vt:lpstr>
      <vt:lpstr>B.Pro.</vt:lpstr>
      <vt:lpstr>Sheet2 (2)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B.Pro.!Print_Area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'Sheet2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2020-03-25T10:02:48Z</cp:lastPrinted>
  <dcterms:created xsi:type="dcterms:W3CDTF">1996-10-14T23:33:28Z</dcterms:created>
  <dcterms:modified xsi:type="dcterms:W3CDTF">2020-04-28T09:34:19Z</dcterms:modified>
</cp:coreProperties>
</file>